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7995" windowHeight="6420" activeTab="0"/>
  </bookViews>
  <sheets>
    <sheet name="Coûts complets" sheetId="1" r:id="rId1"/>
    <sheet name="Feuil1" sheetId="2" r:id="rId2"/>
  </sheets>
  <definedNames/>
  <calcPr fullCalcOnLoad="1"/>
</workbook>
</file>

<file path=xl/sharedStrings.xml><?xml version="1.0" encoding="utf-8"?>
<sst xmlns="http://schemas.openxmlformats.org/spreadsheetml/2006/main" count="82" uniqueCount="74">
  <si>
    <t>GRH</t>
  </si>
  <si>
    <t>Entretien</t>
  </si>
  <si>
    <t>Achats</t>
  </si>
  <si>
    <t>Usinage</t>
  </si>
  <si>
    <t>Montage</t>
  </si>
  <si>
    <t>Commercial</t>
  </si>
  <si>
    <t>TOTAL</t>
  </si>
  <si>
    <t>Centres Auxiliaires</t>
  </si>
  <si>
    <t>Centres Principaux</t>
  </si>
  <si>
    <t xml:space="preserve">Etudes </t>
  </si>
  <si>
    <t>Administration</t>
  </si>
  <si>
    <t>Centres de structure</t>
  </si>
  <si>
    <t>Répartition primaire</t>
  </si>
  <si>
    <t>Repart GRH</t>
  </si>
  <si>
    <t>clé GRH</t>
  </si>
  <si>
    <t>clé Plannification</t>
  </si>
  <si>
    <t>clé Entretien</t>
  </si>
  <si>
    <t>Répart Entretien</t>
  </si>
  <si>
    <t>Valeur d'achat
des composants</t>
  </si>
  <si>
    <t>Heure de
main d'œuvre</t>
  </si>
  <si>
    <t>Unité d'Œuvres</t>
  </si>
  <si>
    <t>M100</t>
  </si>
  <si>
    <t>M500</t>
  </si>
  <si>
    <t>Quantité</t>
  </si>
  <si>
    <t>Prix Unitaire</t>
  </si>
  <si>
    <t>Charges directes d'achat 
des composants</t>
  </si>
  <si>
    <t>Charges indirectes d'achat 
des composants</t>
  </si>
  <si>
    <t>Cout total d'achat
des composants</t>
  </si>
  <si>
    <t>Charges directes
d'usinage</t>
  </si>
  <si>
    <t>Charges indirectes
d'usinage</t>
  </si>
  <si>
    <t>Total charges
d'usinage</t>
  </si>
  <si>
    <t>Charges directes
de montage</t>
  </si>
  <si>
    <t>Charges indirectes
de montage</t>
  </si>
  <si>
    <t>Total charges
de montage</t>
  </si>
  <si>
    <t>Coût de Production</t>
  </si>
  <si>
    <t>Coût de Revient</t>
  </si>
  <si>
    <t>Charges des Coûts de Structures</t>
  </si>
  <si>
    <t>Coût de Revient
Unitaire</t>
  </si>
  <si>
    <t>Prix de Vente unitaire</t>
  </si>
  <si>
    <t>Marge</t>
  </si>
  <si>
    <t>Cas G.E.E.</t>
  </si>
  <si>
    <t>Coût de revient =</t>
  </si>
  <si>
    <t>Coût d'achat</t>
  </si>
  <si>
    <t>Autres charge fixes (indirectes)</t>
  </si>
  <si>
    <t>Répartition des charges indirectes</t>
  </si>
  <si>
    <t>Centre d'analyse</t>
  </si>
  <si>
    <t>main d'œuvre</t>
  </si>
  <si>
    <t>Autres charges</t>
  </si>
  <si>
    <t>Amortissements</t>
  </si>
  <si>
    <t>Heure de main d'œuvre directe des ateliers</t>
  </si>
  <si>
    <t>Attention: quand on répartit un centre d'analyse dans les autres, il convient de retirer du total la part de ce centre et de ne pas le répartir dans lui-même.</t>
  </si>
  <si>
    <t>Pour savoir à quels centres et à quelle hauteur on répartit un centre, on prend en compte son unité d'œuvre.</t>
  </si>
  <si>
    <t>Total par centre</t>
  </si>
  <si>
    <t>Volume/valeur UO</t>
  </si>
  <si>
    <t>Coût d'achat et de production</t>
  </si>
  <si>
    <t>Part dans le coût de production</t>
  </si>
  <si>
    <r>
      <t xml:space="preserve"> Le coût de production s'obtient en faisant la somme des différents coûts de production directs et indirects </t>
    </r>
    <r>
      <rPr>
        <b/>
        <sz val="11"/>
        <rFont val="Arial"/>
        <family val="2"/>
      </rPr>
      <t>et</t>
    </r>
    <r>
      <rPr>
        <sz val="11"/>
        <rFont val="Arial"/>
        <family val="2"/>
      </rPr>
      <t xml:space="preserve"> le coût d'achat des composants. </t>
    </r>
  </si>
  <si>
    <t>Il s'agit de distinguer  les centre d'analyse auxiliaires des centres d'analyse principaux. Les charges du centre principal peuvent être imputées grâce aux unités d'œuvres. 
Les centres d'analyse auxiliaires désignent des services qui travaillent pour l'ensemble de l'entreprise.</t>
  </si>
  <si>
    <t>On commence par répartir les centres qui se s'allouent au plus grand nombre de centres</t>
  </si>
  <si>
    <t>Planification</t>
  </si>
  <si>
    <t>Coût de production</t>
  </si>
  <si>
    <t>Répart Planification</t>
  </si>
  <si>
    <t>HHHHHHH</t>
  </si>
  <si>
    <t xml:space="preserve">USINAGE </t>
  </si>
  <si>
    <t>MONTAGE</t>
  </si>
  <si>
    <t xml:space="preserve">ACHATS </t>
  </si>
  <si>
    <t xml:space="preserve">STRUCTURE </t>
  </si>
  <si>
    <t>etudes des cas</t>
  </si>
  <si>
    <t xml:space="preserve">cas 3 </t>
  </si>
  <si>
    <t>ABC</t>
  </si>
  <si>
    <t>QCM</t>
  </si>
  <si>
    <t>12 QUEST</t>
  </si>
  <si>
    <t>COURS</t>
  </si>
  <si>
    <t>Euros de main d'œuvre des centres utilisateurs de main d'œuvre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</si>
</sst>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0\ _€_-;\-* #,##0.0\ _€_-;_-* &quot;-&quot;??\ _€_-;_-@_-"/>
    <numFmt numFmtId="167" formatCode="_-* #,##0\ _€_-;\-* #,##0\ _€_-;_-* &quot;-&quot;??\ _€_-;_-@_-"/>
    <numFmt numFmtId="168" formatCode="_-* #,##0.0\ _€_-;\-* #,##0.0\ _€_-;_-* &quot;-&quot;?\ _€_-;_-@_-"/>
    <numFmt numFmtId="169" formatCode="#,##0.0000"/>
    <numFmt numFmtId="170" formatCode="#,##0.00000000000"/>
    <numFmt numFmtId="171" formatCode="#,##0.00000000"/>
    <numFmt numFmtId="172" formatCode="#,##0.00000"/>
    <numFmt numFmtId="173" formatCode="_-* #,##0.0000\ _€_-;\-* #,##0.0000\ _€_-;_-* &quot;-&quot;????\ _€_-;_-@_-"/>
  </numFmts>
  <fonts count="49">
    <font>
      <sz val="10"/>
      <name val="Arial"/>
      <family val="0"/>
    </font>
    <font>
      <sz val="11"/>
      <name val="Arial"/>
      <family val="2"/>
    </font>
    <font>
      <b/>
      <sz val="11"/>
      <name val="Arial"/>
      <family val="2"/>
    </font>
    <font>
      <b/>
      <sz val="20"/>
      <name val="Arial"/>
      <family val="2"/>
    </font>
    <font>
      <i/>
      <sz val="11"/>
      <name val="Arial"/>
      <family val="2"/>
    </font>
    <font>
      <i/>
      <sz val="1"/>
      <name val="Arial"/>
      <family val="2"/>
    </font>
    <font>
      <b/>
      <i/>
      <sz val="1"/>
      <name val="Arial"/>
      <family val="2"/>
    </font>
    <font>
      <i/>
      <sz val="2"/>
      <name val="Arial"/>
      <family val="2"/>
    </font>
    <font>
      <b/>
      <i/>
      <sz val="2"/>
      <name val="Arial"/>
      <family val="2"/>
    </font>
    <font>
      <b/>
      <sz val="2"/>
      <name val="Arial"/>
      <family val="2"/>
    </font>
    <font>
      <sz val="22"/>
      <name val="Arial"/>
      <family val="2"/>
    </font>
    <font>
      <sz val="16"/>
      <name val="Arial"/>
      <family val="2"/>
    </font>
    <font>
      <b/>
      <sz val="22"/>
      <name val="Arial"/>
      <family val="2"/>
    </font>
    <font>
      <b/>
      <sz val="18"/>
      <name val="Arial"/>
      <family val="2"/>
    </font>
    <font>
      <sz val="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theme="2" tint="-0.4999699890613556"/>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style="thin"/>
    </border>
    <border>
      <left style="thin"/>
      <right style="thin"/>
      <top style="medium"/>
      <bottom style="thin"/>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color indexed="63"/>
      </right>
      <top style="medium"/>
      <bottom style="medium"/>
    </border>
    <border>
      <left>
        <color indexed="63"/>
      </left>
      <right style="medium"/>
      <top>
        <color indexed="63"/>
      </top>
      <bottom>
        <color indexed="63"/>
      </bottom>
    </border>
    <border>
      <left style="thin"/>
      <right style="thin"/>
      <top style="thin"/>
      <bottom>
        <color indexed="63"/>
      </bottom>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style="thin"/>
      <top>
        <color indexed="63"/>
      </top>
      <bottom style="thin"/>
    </border>
    <border>
      <left style="thin"/>
      <right style="thin"/>
      <top style="medium"/>
      <bottom>
        <color indexed="63"/>
      </botto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84">
    <xf numFmtId="0" fontId="0" fillId="0" borderId="0" xfId="0" applyAlignment="1">
      <alignment/>
    </xf>
    <xf numFmtId="4" fontId="1" fillId="0" borderId="0" xfId="0" applyNumberFormat="1" applyFont="1" applyAlignment="1">
      <alignment/>
    </xf>
    <xf numFmtId="4" fontId="2" fillId="0" borderId="0" xfId="0" applyNumberFormat="1" applyFont="1" applyAlignment="1">
      <alignment/>
    </xf>
    <xf numFmtId="4" fontId="1" fillId="0" borderId="0" xfId="0" applyNumberFormat="1" applyFont="1" applyAlignment="1">
      <alignment horizontal="right"/>
    </xf>
    <xf numFmtId="4" fontId="2" fillId="0" borderId="0" xfId="0" applyNumberFormat="1" applyFont="1" applyAlignment="1">
      <alignment horizontal="left"/>
    </xf>
    <xf numFmtId="4" fontId="1" fillId="0" borderId="0" xfId="0" applyNumberFormat="1" applyFont="1" applyAlignment="1">
      <alignment horizontal="left" wrapText="1"/>
    </xf>
    <xf numFmtId="4" fontId="1" fillId="33" borderId="10" xfId="0" applyNumberFormat="1" applyFont="1" applyFill="1" applyBorder="1" applyAlignment="1">
      <alignment/>
    </xf>
    <xf numFmtId="4" fontId="2" fillId="33" borderId="11"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14" xfId="0" applyNumberFormat="1" applyFont="1" applyFill="1" applyBorder="1" applyAlignment="1">
      <alignment horizontal="center"/>
    </xf>
    <xf numFmtId="4" fontId="1" fillId="33" borderId="15" xfId="0" applyNumberFormat="1" applyFont="1" applyFill="1" applyBorder="1" applyAlignment="1">
      <alignment horizontal="center"/>
    </xf>
    <xf numFmtId="4" fontId="1" fillId="33" borderId="16"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15" xfId="0" applyNumberFormat="1" applyFont="1" applyFill="1" applyBorder="1" applyAlignment="1">
      <alignment horizontal="center" wrapText="1"/>
    </xf>
    <xf numFmtId="4" fontId="2" fillId="33" borderId="18" xfId="0" applyNumberFormat="1" applyFont="1" applyFill="1" applyBorder="1" applyAlignment="1">
      <alignment horizontal="center"/>
    </xf>
    <xf numFmtId="4" fontId="4" fillId="0" borderId="19" xfId="0" applyNumberFormat="1" applyFont="1" applyBorder="1" applyAlignment="1">
      <alignment horizontal="right"/>
    </xf>
    <xf numFmtId="4" fontId="1" fillId="0" borderId="19" xfId="0" applyNumberFormat="1" applyFont="1" applyBorder="1" applyAlignment="1">
      <alignment/>
    </xf>
    <xf numFmtId="4" fontId="1" fillId="0" borderId="20" xfId="0" applyNumberFormat="1" applyFont="1" applyBorder="1" applyAlignment="1">
      <alignment/>
    </xf>
    <xf numFmtId="4" fontId="1" fillId="0" borderId="21" xfId="0" applyNumberFormat="1" applyFont="1" applyBorder="1" applyAlignment="1">
      <alignment/>
    </xf>
    <xf numFmtId="4" fontId="2" fillId="0" borderId="19" xfId="0" applyNumberFormat="1" applyFont="1" applyBorder="1" applyAlignment="1">
      <alignment/>
    </xf>
    <xf numFmtId="4" fontId="1" fillId="0" borderId="0" xfId="0" applyNumberFormat="1" applyFont="1" applyBorder="1" applyAlignment="1">
      <alignment/>
    </xf>
    <xf numFmtId="4" fontId="1" fillId="0" borderId="22" xfId="0" applyNumberFormat="1" applyFont="1" applyBorder="1" applyAlignment="1">
      <alignment/>
    </xf>
    <xf numFmtId="4" fontId="1" fillId="0" borderId="23" xfId="0" applyNumberFormat="1" applyFont="1" applyBorder="1" applyAlignment="1">
      <alignment/>
    </xf>
    <xf numFmtId="4" fontId="1" fillId="0" borderId="23" xfId="0" applyNumberFormat="1" applyFont="1" applyBorder="1" applyAlignment="1">
      <alignment horizontal="center" wrapText="1"/>
    </xf>
    <xf numFmtId="4" fontId="1" fillId="0" borderId="21" xfId="0" applyNumberFormat="1" applyFont="1" applyBorder="1" applyAlignment="1">
      <alignment horizontal="center" wrapText="1"/>
    </xf>
    <xf numFmtId="4" fontId="1" fillId="0" borderId="0" xfId="0" applyNumberFormat="1" applyFont="1" applyBorder="1" applyAlignment="1">
      <alignment wrapText="1"/>
    </xf>
    <xf numFmtId="4" fontId="1" fillId="0" borderId="23" xfId="0" applyNumberFormat="1" applyFont="1" applyBorder="1" applyAlignment="1">
      <alignment wrapText="1"/>
    </xf>
    <xf numFmtId="4" fontId="1" fillId="0" borderId="21" xfId="0" applyNumberFormat="1" applyFont="1" applyBorder="1" applyAlignment="1">
      <alignment wrapText="1"/>
    </xf>
    <xf numFmtId="4" fontId="1" fillId="0" borderId="22" xfId="0" applyNumberFormat="1" applyFont="1" applyBorder="1" applyAlignment="1">
      <alignment wrapText="1"/>
    </xf>
    <xf numFmtId="4" fontId="2" fillId="0" borderId="20" xfId="0" applyNumberFormat="1" applyFont="1" applyBorder="1" applyAlignment="1">
      <alignment/>
    </xf>
    <xf numFmtId="4" fontId="2" fillId="0" borderId="0" xfId="0" applyNumberFormat="1" applyFont="1" applyBorder="1" applyAlignment="1">
      <alignment/>
    </xf>
    <xf numFmtId="4" fontId="2" fillId="0" borderId="24" xfId="0" applyNumberFormat="1" applyFont="1" applyBorder="1" applyAlignment="1">
      <alignment/>
    </xf>
    <xf numFmtId="4" fontId="2" fillId="0" borderId="25" xfId="0" applyNumberFormat="1" applyFont="1" applyBorder="1" applyAlignment="1">
      <alignment/>
    </xf>
    <xf numFmtId="4" fontId="1" fillId="33" borderId="26" xfId="0" applyNumberFormat="1" applyFont="1" applyFill="1" applyBorder="1" applyAlignment="1">
      <alignment/>
    </xf>
    <xf numFmtId="4" fontId="1" fillId="33" borderId="27" xfId="0" applyNumberFormat="1" applyFont="1" applyFill="1" applyBorder="1" applyAlignment="1">
      <alignment/>
    </xf>
    <xf numFmtId="4" fontId="1" fillId="33" borderId="28" xfId="0" applyNumberFormat="1" applyFont="1" applyFill="1" applyBorder="1" applyAlignment="1">
      <alignment/>
    </xf>
    <xf numFmtId="4" fontId="1" fillId="33" borderId="29" xfId="0" applyNumberFormat="1" applyFont="1" applyFill="1" applyBorder="1" applyAlignment="1">
      <alignment/>
    </xf>
    <xf numFmtId="4" fontId="2" fillId="0" borderId="0" xfId="0" applyNumberFormat="1" applyFont="1" applyAlignment="1">
      <alignment/>
    </xf>
    <xf numFmtId="4" fontId="2" fillId="33" borderId="30" xfId="0" applyNumberFormat="1" applyFont="1" applyFill="1" applyBorder="1" applyAlignment="1">
      <alignment/>
    </xf>
    <xf numFmtId="4" fontId="1" fillId="33" borderId="18" xfId="0" applyNumberFormat="1" applyFont="1" applyFill="1" applyBorder="1" applyAlignment="1">
      <alignment horizontal="center"/>
    </xf>
    <xf numFmtId="4" fontId="1" fillId="33" borderId="31" xfId="0" applyNumberFormat="1" applyFont="1" applyFill="1" applyBorder="1" applyAlignment="1">
      <alignment horizontal="center"/>
    </xf>
    <xf numFmtId="4" fontId="1" fillId="33" borderId="32"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0" borderId="0" xfId="0" applyNumberFormat="1" applyFont="1" applyAlignment="1">
      <alignment horizontal="center"/>
    </xf>
    <xf numFmtId="4" fontId="2" fillId="0" borderId="0" xfId="0" applyNumberFormat="1" applyFont="1" applyAlignment="1">
      <alignment horizontal="center"/>
    </xf>
    <xf numFmtId="4" fontId="2" fillId="0" borderId="34" xfId="0" applyNumberFormat="1" applyFont="1" applyBorder="1" applyAlignment="1">
      <alignment/>
    </xf>
    <xf numFmtId="4" fontId="1" fillId="0" borderId="22" xfId="0" applyNumberFormat="1" applyFont="1" applyBorder="1" applyAlignment="1">
      <alignment wrapText="1" shrinkToFit="1"/>
    </xf>
    <xf numFmtId="10" fontId="1" fillId="0" borderId="35" xfId="50" applyNumberFormat="1" applyFont="1" applyBorder="1" applyAlignment="1">
      <alignment/>
    </xf>
    <xf numFmtId="10" fontId="1" fillId="0" borderId="0" xfId="50" applyNumberFormat="1" applyFont="1" applyBorder="1" applyAlignment="1">
      <alignment/>
    </xf>
    <xf numFmtId="10" fontId="1" fillId="0" borderId="23" xfId="50" applyNumberFormat="1" applyFont="1" applyBorder="1" applyAlignment="1">
      <alignment/>
    </xf>
    <xf numFmtId="3" fontId="1" fillId="0" borderId="20" xfId="0" applyNumberFormat="1" applyFont="1" applyBorder="1" applyAlignment="1">
      <alignment horizontal="right"/>
    </xf>
    <xf numFmtId="3" fontId="1" fillId="0" borderId="0" xfId="0" applyNumberFormat="1" applyFont="1" applyBorder="1" applyAlignment="1">
      <alignment horizontal="right"/>
    </xf>
    <xf numFmtId="3" fontId="1" fillId="0" borderId="21" xfId="0" applyNumberFormat="1" applyFont="1" applyBorder="1" applyAlignment="1">
      <alignment horizontal="right"/>
    </xf>
    <xf numFmtId="3" fontId="1" fillId="0" borderId="36" xfId="0" applyNumberFormat="1" applyFont="1" applyBorder="1" applyAlignment="1">
      <alignment horizontal="right"/>
    </xf>
    <xf numFmtId="3" fontId="2" fillId="0" borderId="19" xfId="0" applyNumberFormat="1" applyFont="1" applyBorder="1" applyAlignment="1">
      <alignment horizontal="right"/>
    </xf>
    <xf numFmtId="3" fontId="1" fillId="0" borderId="24" xfId="0" applyNumberFormat="1" applyFont="1" applyBorder="1" applyAlignment="1">
      <alignment horizontal="right" wrapText="1"/>
    </xf>
    <xf numFmtId="3" fontId="1" fillId="0" borderId="20" xfId="0" applyNumberFormat="1" applyFont="1" applyBorder="1" applyAlignment="1">
      <alignment/>
    </xf>
    <xf numFmtId="3" fontId="1" fillId="0" borderId="21" xfId="0" applyNumberFormat="1" applyFont="1" applyBorder="1" applyAlignment="1">
      <alignment/>
    </xf>
    <xf numFmtId="3" fontId="2" fillId="0" borderId="19" xfId="0" applyNumberFormat="1" applyFont="1" applyBorder="1" applyAlignment="1">
      <alignment/>
    </xf>
    <xf numFmtId="3" fontId="1" fillId="0" borderId="0" xfId="0" applyNumberFormat="1" applyFont="1" applyBorder="1" applyAlignment="1">
      <alignment/>
    </xf>
    <xf numFmtId="3" fontId="1" fillId="0" borderId="22" xfId="0" applyNumberFormat="1" applyFont="1" applyBorder="1" applyAlignment="1">
      <alignment/>
    </xf>
    <xf numFmtId="3" fontId="1" fillId="0" borderId="23" xfId="0" applyNumberFormat="1" applyFont="1" applyBorder="1" applyAlignment="1">
      <alignment/>
    </xf>
    <xf numFmtId="3" fontId="1" fillId="0" borderId="24" xfId="0" applyNumberFormat="1" applyFont="1" applyBorder="1" applyAlignment="1">
      <alignment/>
    </xf>
    <xf numFmtId="3" fontId="1" fillId="0" borderId="35" xfId="0" applyNumberFormat="1" applyFont="1" applyBorder="1" applyAlignment="1">
      <alignment/>
    </xf>
    <xf numFmtId="3" fontId="2" fillId="0" borderId="35" xfId="0" applyNumberFormat="1" applyFont="1" applyBorder="1" applyAlignment="1">
      <alignment/>
    </xf>
    <xf numFmtId="4" fontId="2" fillId="34" borderId="37" xfId="0" applyNumberFormat="1" applyFont="1" applyFill="1" applyBorder="1" applyAlignment="1">
      <alignment/>
    </xf>
    <xf numFmtId="3" fontId="2" fillId="34" borderId="38" xfId="0" applyNumberFormat="1" applyFont="1" applyFill="1" applyBorder="1" applyAlignment="1">
      <alignment/>
    </xf>
    <xf numFmtId="3" fontId="2" fillId="34" borderId="39" xfId="0" applyNumberFormat="1" applyFont="1" applyFill="1" applyBorder="1" applyAlignment="1">
      <alignment/>
    </xf>
    <xf numFmtId="3" fontId="2" fillId="34" borderId="40" xfId="0" applyNumberFormat="1" applyFont="1" applyFill="1" applyBorder="1" applyAlignment="1">
      <alignment/>
    </xf>
    <xf numFmtId="3" fontId="2" fillId="34" borderId="41" xfId="0" applyNumberFormat="1" applyFont="1" applyFill="1" applyBorder="1" applyAlignment="1">
      <alignment/>
    </xf>
    <xf numFmtId="3" fontId="2" fillId="34" borderId="37" xfId="0" applyNumberFormat="1" applyFont="1" applyFill="1" applyBorder="1" applyAlignment="1">
      <alignment/>
    </xf>
    <xf numFmtId="4" fontId="2" fillId="0" borderId="19" xfId="0" applyNumberFormat="1" applyFont="1" applyBorder="1" applyAlignment="1">
      <alignment/>
    </xf>
    <xf numFmtId="4" fontId="1" fillId="0" borderId="0" xfId="0" applyNumberFormat="1" applyFont="1" applyBorder="1" applyAlignment="1">
      <alignment horizontal="center" wrapText="1"/>
    </xf>
    <xf numFmtId="4" fontId="2" fillId="34" borderId="34" xfId="0" applyNumberFormat="1" applyFont="1" applyFill="1" applyBorder="1" applyAlignment="1">
      <alignment/>
    </xf>
    <xf numFmtId="4" fontId="2" fillId="34" borderId="42" xfId="0" applyNumberFormat="1" applyFont="1" applyFill="1" applyBorder="1" applyAlignment="1">
      <alignment/>
    </xf>
    <xf numFmtId="4" fontId="2" fillId="34" borderId="43" xfId="0" applyNumberFormat="1" applyFont="1" applyFill="1" applyBorder="1" applyAlignment="1">
      <alignment/>
    </xf>
    <xf numFmtId="4" fontId="2" fillId="34" borderId="44" xfId="0" applyNumberFormat="1" applyFont="1" applyFill="1" applyBorder="1" applyAlignment="1">
      <alignment/>
    </xf>
    <xf numFmtId="3" fontId="1" fillId="35" borderId="35" xfId="0" applyNumberFormat="1" applyFont="1" applyFill="1" applyBorder="1" applyAlignment="1">
      <alignment/>
    </xf>
    <xf numFmtId="4" fontId="5" fillId="0" borderId="19" xfId="0" applyNumberFormat="1" applyFont="1" applyBorder="1" applyAlignment="1">
      <alignment/>
    </xf>
    <xf numFmtId="10" fontId="5" fillId="0" borderId="20" xfId="50" applyNumberFormat="1" applyFont="1" applyBorder="1" applyAlignment="1">
      <alignment/>
    </xf>
    <xf numFmtId="10" fontId="5" fillId="0" borderId="21" xfId="50" applyNumberFormat="1" applyFont="1" applyBorder="1" applyAlignment="1">
      <alignment/>
    </xf>
    <xf numFmtId="4" fontId="5" fillId="0" borderId="0" xfId="0" applyNumberFormat="1" applyFont="1" applyAlignment="1">
      <alignment/>
    </xf>
    <xf numFmtId="4" fontId="7" fillId="0" borderId="19" xfId="0" applyNumberFormat="1" applyFont="1" applyBorder="1" applyAlignment="1">
      <alignment/>
    </xf>
    <xf numFmtId="4" fontId="7" fillId="0" borderId="20" xfId="0" applyNumberFormat="1" applyFont="1" applyBorder="1" applyAlignment="1">
      <alignment/>
    </xf>
    <xf numFmtId="4" fontId="7" fillId="0" borderId="0" xfId="0" applyNumberFormat="1" applyFont="1" applyBorder="1" applyAlignment="1">
      <alignment/>
    </xf>
    <xf numFmtId="4" fontId="7" fillId="0" borderId="21" xfId="0" applyNumberFormat="1" applyFont="1" applyBorder="1" applyAlignment="1">
      <alignment/>
    </xf>
    <xf numFmtId="169" fontId="7" fillId="0" borderId="0" xfId="0" applyNumberFormat="1" applyFont="1" applyBorder="1" applyAlignment="1">
      <alignment/>
    </xf>
    <xf numFmtId="4" fontId="7" fillId="0" borderId="24" xfId="0" applyNumberFormat="1" applyFont="1" applyBorder="1" applyAlignment="1">
      <alignment/>
    </xf>
    <xf numFmtId="4" fontId="7" fillId="0" borderId="0" xfId="0" applyNumberFormat="1" applyFont="1" applyAlignment="1">
      <alignment/>
    </xf>
    <xf numFmtId="170" fontId="7" fillId="0" borderId="21" xfId="0" applyNumberFormat="1" applyFont="1" applyBorder="1" applyAlignment="1">
      <alignment/>
    </xf>
    <xf numFmtId="9" fontId="9" fillId="0" borderId="19" xfId="50" applyFont="1" applyBorder="1" applyAlignment="1">
      <alignment/>
    </xf>
    <xf numFmtId="4" fontId="2" fillId="34" borderId="31" xfId="0" applyNumberFormat="1" applyFont="1" applyFill="1" applyBorder="1" applyAlignment="1">
      <alignment wrapText="1"/>
    </xf>
    <xf numFmtId="4" fontId="2" fillId="34" borderId="31" xfId="0" applyNumberFormat="1" applyFont="1" applyFill="1" applyBorder="1" applyAlignment="1">
      <alignment/>
    </xf>
    <xf numFmtId="4" fontId="2" fillId="34" borderId="45" xfId="0" applyNumberFormat="1" applyFont="1" applyFill="1" applyBorder="1" applyAlignment="1">
      <alignment/>
    </xf>
    <xf numFmtId="3" fontId="2" fillId="35" borderId="33" xfId="0" applyNumberFormat="1" applyFont="1" applyFill="1" applyBorder="1" applyAlignment="1">
      <alignment/>
    </xf>
    <xf numFmtId="3" fontId="2" fillId="34" borderId="27" xfId="0" applyNumberFormat="1" applyFont="1" applyFill="1" applyBorder="1" applyAlignment="1">
      <alignment/>
    </xf>
    <xf numFmtId="3" fontId="2" fillId="34" borderId="45" xfId="0" applyNumberFormat="1" applyFont="1" applyFill="1" applyBorder="1" applyAlignment="1">
      <alignment/>
    </xf>
    <xf numFmtId="3" fontId="2" fillId="34" borderId="33" xfId="0" applyNumberFormat="1" applyFont="1" applyFill="1" applyBorder="1" applyAlignment="1">
      <alignment/>
    </xf>
    <xf numFmtId="4" fontId="1" fillId="0" borderId="34" xfId="0" applyNumberFormat="1" applyFont="1" applyBorder="1" applyAlignment="1">
      <alignment wrapText="1"/>
    </xf>
    <xf numFmtId="3" fontId="1" fillId="0" borderId="34" xfId="0" applyNumberFormat="1" applyFont="1" applyBorder="1" applyAlignment="1">
      <alignment/>
    </xf>
    <xf numFmtId="172" fontId="1" fillId="0" borderId="42" xfId="0" applyNumberFormat="1" applyFont="1" applyBorder="1" applyAlignment="1">
      <alignment horizontal="center"/>
    </xf>
    <xf numFmtId="3" fontId="1" fillId="0" borderId="43" xfId="0" applyNumberFormat="1" applyFont="1" applyBorder="1" applyAlignment="1">
      <alignment/>
    </xf>
    <xf numFmtId="3" fontId="1" fillId="0" borderId="44" xfId="0" applyNumberFormat="1" applyFont="1" applyBorder="1" applyAlignment="1">
      <alignment/>
    </xf>
    <xf numFmtId="4" fontId="1" fillId="0" borderId="42" xfId="0" applyNumberFormat="1" applyFont="1" applyBorder="1" applyAlignment="1">
      <alignment horizontal="center"/>
    </xf>
    <xf numFmtId="4" fontId="1" fillId="0" borderId="43" xfId="0" applyNumberFormat="1" applyFont="1" applyBorder="1" applyAlignment="1">
      <alignment/>
    </xf>
    <xf numFmtId="3" fontId="1" fillId="35" borderId="43" xfId="0" applyNumberFormat="1" applyFont="1" applyFill="1" applyBorder="1" applyAlignment="1">
      <alignment/>
    </xf>
    <xf numFmtId="3" fontId="2" fillId="34" borderId="31" xfId="0" applyNumberFormat="1" applyFont="1" applyFill="1" applyBorder="1" applyAlignment="1">
      <alignment/>
    </xf>
    <xf numFmtId="4" fontId="1" fillId="0" borderId="34" xfId="0" applyNumberFormat="1" applyFont="1" applyBorder="1" applyAlignment="1">
      <alignment/>
    </xf>
    <xf numFmtId="4" fontId="1" fillId="0" borderId="42" xfId="0" applyNumberFormat="1" applyFont="1" applyBorder="1" applyAlignment="1">
      <alignment/>
    </xf>
    <xf numFmtId="3" fontId="1" fillId="0" borderId="42" xfId="0" applyNumberFormat="1" applyFont="1" applyBorder="1" applyAlignment="1">
      <alignment/>
    </xf>
    <xf numFmtId="4" fontId="1" fillId="0" borderId="30" xfId="0" applyNumberFormat="1" applyFont="1" applyBorder="1" applyAlignment="1">
      <alignment/>
    </xf>
    <xf numFmtId="4" fontId="2" fillId="0" borderId="11" xfId="0" applyNumberFormat="1" applyFont="1" applyBorder="1" applyAlignment="1">
      <alignment/>
    </xf>
    <xf numFmtId="4" fontId="1" fillId="0" borderId="19" xfId="0" applyNumberFormat="1" applyFont="1" applyBorder="1" applyAlignment="1">
      <alignment horizontal="center"/>
    </xf>
    <xf numFmtId="9" fontId="1" fillId="0" borderId="11" xfId="0" applyNumberFormat="1" applyFont="1" applyBorder="1" applyAlignment="1">
      <alignment/>
    </xf>
    <xf numFmtId="9" fontId="2" fillId="0" borderId="46" xfId="0" applyNumberFormat="1" applyFont="1" applyBorder="1" applyAlignment="1">
      <alignment/>
    </xf>
    <xf numFmtId="9" fontId="2" fillId="0" borderId="19" xfId="0" applyNumberFormat="1" applyFont="1" applyBorder="1" applyAlignment="1">
      <alignment/>
    </xf>
    <xf numFmtId="9" fontId="2" fillId="0" borderId="0" xfId="0" applyNumberFormat="1" applyFont="1" applyBorder="1" applyAlignment="1">
      <alignment/>
    </xf>
    <xf numFmtId="9" fontId="1" fillId="0" borderId="19" xfId="0" applyNumberFormat="1" applyFont="1" applyBorder="1" applyAlignment="1">
      <alignment/>
    </xf>
    <xf numFmtId="9" fontId="1" fillId="0" borderId="18" xfId="0" applyNumberFormat="1" applyFont="1" applyBorder="1" applyAlignment="1">
      <alignment/>
    </xf>
    <xf numFmtId="9" fontId="2" fillId="0" borderId="27" xfId="0" applyNumberFormat="1" applyFont="1" applyBorder="1" applyAlignment="1">
      <alignment/>
    </xf>
    <xf numFmtId="9" fontId="2" fillId="0" borderId="0" xfId="0" applyNumberFormat="1" applyFont="1" applyAlignment="1">
      <alignment/>
    </xf>
    <xf numFmtId="9" fontId="1" fillId="0" borderId="0" xfId="0" applyNumberFormat="1" applyFont="1" applyAlignment="1">
      <alignment/>
    </xf>
    <xf numFmtId="9" fontId="2" fillId="0" borderId="10" xfId="0" applyNumberFormat="1" applyFont="1" applyBorder="1" applyAlignment="1">
      <alignment/>
    </xf>
    <xf numFmtId="9" fontId="2" fillId="0" borderId="44" xfId="0" applyNumberFormat="1" applyFont="1" applyBorder="1" applyAlignment="1">
      <alignment/>
    </xf>
    <xf numFmtId="9" fontId="1" fillId="0" borderId="10" xfId="0" applyNumberFormat="1" applyFont="1"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24" xfId="0" applyBorder="1" applyAlignment="1">
      <alignment/>
    </xf>
    <xf numFmtId="0" fontId="0" fillId="0" borderId="0" xfId="0" applyBorder="1" applyAlignment="1">
      <alignment/>
    </xf>
    <xf numFmtId="0" fontId="0" fillId="0" borderId="20" xfId="0" applyBorder="1" applyAlignment="1">
      <alignment/>
    </xf>
    <xf numFmtId="9" fontId="0" fillId="0" borderId="0" xfId="0" applyNumberFormat="1"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3" fontId="11" fillId="0" borderId="20" xfId="0" applyNumberFormat="1" applyFont="1" applyBorder="1" applyAlignment="1">
      <alignment/>
    </xf>
    <xf numFmtId="4" fontId="1" fillId="36" borderId="0" xfId="0" applyNumberFormat="1" applyFont="1" applyFill="1" applyAlignment="1">
      <alignment/>
    </xf>
    <xf numFmtId="4" fontId="1" fillId="36" borderId="41" xfId="0" applyNumberFormat="1" applyFont="1" applyFill="1" applyBorder="1" applyAlignment="1">
      <alignment/>
    </xf>
    <xf numFmtId="173" fontId="2" fillId="33" borderId="26" xfId="0" applyNumberFormat="1" applyFont="1" applyFill="1" applyBorder="1" applyAlignment="1">
      <alignment horizontal="center"/>
    </xf>
    <xf numFmtId="3" fontId="2" fillId="34" borderId="53" xfId="0" applyNumberFormat="1" applyFont="1" applyFill="1" applyBorder="1" applyAlignment="1">
      <alignment/>
    </xf>
    <xf numFmtId="10" fontId="5" fillId="0" borderId="24" xfId="50" applyNumberFormat="1" applyFont="1" applyBorder="1" applyAlignment="1">
      <alignment/>
    </xf>
    <xf numFmtId="4" fontId="1" fillId="0" borderId="24" xfId="0" applyNumberFormat="1" applyFont="1" applyBorder="1" applyAlignment="1">
      <alignment/>
    </xf>
    <xf numFmtId="3" fontId="2" fillId="34" borderId="54" xfId="0" applyNumberFormat="1" applyFont="1" applyFill="1" applyBorder="1" applyAlignment="1">
      <alignment horizontal="right"/>
    </xf>
    <xf numFmtId="9" fontId="6" fillId="0" borderId="35" xfId="50" applyFont="1" applyBorder="1" applyAlignment="1">
      <alignment/>
    </xf>
    <xf numFmtId="9" fontId="8" fillId="0" borderId="35" xfId="50" applyFont="1" applyBorder="1" applyAlignment="1">
      <alignment/>
    </xf>
    <xf numFmtId="10" fontId="5" fillId="0" borderId="23" xfId="50" applyNumberFormat="1" applyFont="1" applyBorder="1" applyAlignment="1">
      <alignment/>
    </xf>
    <xf numFmtId="4" fontId="7" fillId="0" borderId="23" xfId="0" applyNumberFormat="1" applyFont="1" applyBorder="1" applyAlignment="1">
      <alignment/>
    </xf>
    <xf numFmtId="3" fontId="1" fillId="0" borderId="55" xfId="0" applyNumberFormat="1" applyFont="1" applyBorder="1" applyAlignment="1">
      <alignment/>
    </xf>
    <xf numFmtId="3" fontId="1" fillId="0" borderId="51" xfId="0" applyNumberFormat="1" applyFont="1" applyBorder="1" applyAlignment="1">
      <alignment/>
    </xf>
    <xf numFmtId="4" fontId="12" fillId="0" borderId="22" xfId="0" applyNumberFormat="1" applyFont="1" applyBorder="1" applyAlignment="1">
      <alignment/>
    </xf>
    <xf numFmtId="3" fontId="12" fillId="0" borderId="22" xfId="0" applyNumberFormat="1" applyFont="1" applyBorder="1" applyAlignment="1">
      <alignment/>
    </xf>
    <xf numFmtId="3" fontId="12" fillId="0" borderId="23" xfId="0" applyNumberFormat="1" applyFont="1" applyBorder="1" applyAlignment="1">
      <alignment/>
    </xf>
    <xf numFmtId="3" fontId="12" fillId="0" borderId="35" xfId="0" applyNumberFormat="1" applyFont="1" applyBorder="1" applyAlignment="1">
      <alignment/>
    </xf>
    <xf numFmtId="3" fontId="12" fillId="0" borderId="30" xfId="0" applyNumberFormat="1" applyFont="1" applyBorder="1" applyAlignment="1">
      <alignment/>
    </xf>
    <xf numFmtId="3" fontId="12" fillId="0" borderId="56" xfId="0" applyNumberFormat="1" applyFont="1" applyBorder="1" applyAlignment="1">
      <alignment/>
    </xf>
    <xf numFmtId="3" fontId="10" fillId="0" borderId="0" xfId="0" applyNumberFormat="1" applyFont="1" applyAlignment="1">
      <alignment/>
    </xf>
    <xf numFmtId="4" fontId="13" fillId="0" borderId="34" xfId="0" applyNumberFormat="1" applyFont="1" applyBorder="1" applyAlignment="1">
      <alignment wrapText="1"/>
    </xf>
    <xf numFmtId="4" fontId="13" fillId="0" borderId="34" xfId="0" applyNumberFormat="1" applyFont="1" applyBorder="1" applyAlignment="1">
      <alignment/>
    </xf>
    <xf numFmtId="4" fontId="13" fillId="0" borderId="42" xfId="0" applyNumberFormat="1" applyFont="1" applyBorder="1" applyAlignment="1">
      <alignment/>
    </xf>
    <xf numFmtId="4" fontId="13" fillId="0" borderId="43" xfId="0" applyNumberFormat="1" applyFont="1" applyBorder="1" applyAlignment="1">
      <alignment/>
    </xf>
    <xf numFmtId="4" fontId="13" fillId="0" borderId="44" xfId="0" applyNumberFormat="1" applyFont="1" applyBorder="1" applyAlignment="1">
      <alignment/>
    </xf>
    <xf numFmtId="4" fontId="13" fillId="0" borderId="0" xfId="0" applyNumberFormat="1" applyFont="1" applyAlignment="1">
      <alignment/>
    </xf>
    <xf numFmtId="4" fontId="3" fillId="0" borderId="22" xfId="0" applyNumberFormat="1" applyFont="1" applyBorder="1" applyAlignment="1">
      <alignment/>
    </xf>
    <xf numFmtId="4" fontId="3" fillId="0" borderId="23" xfId="0" applyNumberFormat="1" applyFont="1" applyBorder="1" applyAlignment="1">
      <alignment/>
    </xf>
    <xf numFmtId="4" fontId="3" fillId="0" borderId="35" xfId="0" applyNumberFormat="1" applyFont="1" applyBorder="1" applyAlignment="1">
      <alignment/>
    </xf>
    <xf numFmtId="4" fontId="3" fillId="0" borderId="0" xfId="0" applyNumberFormat="1" applyFont="1" applyBorder="1" applyAlignment="1">
      <alignment/>
    </xf>
    <xf numFmtId="4" fontId="14" fillId="0" borderId="0" xfId="0" applyNumberFormat="1" applyFont="1" applyAlignment="1">
      <alignment/>
    </xf>
    <xf numFmtId="169" fontId="1" fillId="33" borderId="27" xfId="0" applyNumberFormat="1" applyFont="1" applyFill="1" applyBorder="1" applyAlignment="1">
      <alignment/>
    </xf>
    <xf numFmtId="3" fontId="1" fillId="0" borderId="0" xfId="0" applyNumberFormat="1" applyFont="1" applyBorder="1" applyAlignment="1">
      <alignment wrapText="1"/>
    </xf>
    <xf numFmtId="3" fontId="1" fillId="0" borderId="23" xfId="0" applyNumberFormat="1" applyFont="1" applyBorder="1" applyAlignment="1">
      <alignment wrapText="1"/>
    </xf>
    <xf numFmtId="3" fontId="1" fillId="0" borderId="21" xfId="0" applyNumberFormat="1" applyFont="1" applyBorder="1" applyAlignment="1">
      <alignment wrapText="1"/>
    </xf>
    <xf numFmtId="43" fontId="2" fillId="33" borderId="27" xfId="0" applyNumberFormat="1" applyFont="1" applyFill="1" applyBorder="1" applyAlignment="1">
      <alignment horizontal="center"/>
    </xf>
    <xf numFmtId="43" fontId="2" fillId="33" borderId="28" xfId="0" applyNumberFormat="1" applyFont="1" applyFill="1" applyBorder="1" applyAlignment="1">
      <alignment horizontal="center"/>
    </xf>
    <xf numFmtId="4" fontId="1" fillId="0" borderId="0" xfId="0" applyNumberFormat="1" applyFont="1" applyAlignment="1">
      <alignment horizontal="left" wrapText="1"/>
    </xf>
    <xf numFmtId="4" fontId="2" fillId="33" borderId="16" xfId="0" applyNumberFormat="1" applyFont="1" applyFill="1" applyBorder="1" applyAlignment="1">
      <alignment horizontal="center"/>
    </xf>
    <xf numFmtId="4" fontId="2" fillId="33" borderId="14" xfId="0" applyNumberFormat="1" applyFont="1" applyFill="1" applyBorder="1" applyAlignment="1">
      <alignment horizontal="center"/>
    </xf>
    <xf numFmtId="4" fontId="2" fillId="33" borderId="57" xfId="0" applyNumberFormat="1" applyFont="1" applyFill="1" applyBorder="1" applyAlignment="1">
      <alignment horizontal="center"/>
    </xf>
    <xf numFmtId="4" fontId="3" fillId="34" borderId="0" xfId="0" applyNumberFormat="1" applyFont="1" applyFill="1" applyAlignment="1">
      <alignment horizontal="center"/>
    </xf>
    <xf numFmtId="4" fontId="2" fillId="33" borderId="34" xfId="0" applyNumberFormat="1" applyFont="1" applyFill="1" applyBorder="1" applyAlignment="1">
      <alignment horizontal="center"/>
    </xf>
    <xf numFmtId="4" fontId="2" fillId="33" borderId="44" xfId="0" applyNumberFormat="1" applyFont="1" applyFill="1" applyBorder="1" applyAlignment="1">
      <alignment horizontal="center"/>
    </xf>
    <xf numFmtId="4" fontId="2" fillId="33" borderId="43" xfId="0" applyNumberFormat="1" applyFont="1" applyFill="1" applyBorder="1" applyAlignment="1">
      <alignment horizontal="center"/>
    </xf>
    <xf numFmtId="3" fontId="2" fillId="34" borderId="40" xfId="0" applyNumberFormat="1"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5"/>
  <sheetViews>
    <sheetView showGridLines="0" tabSelected="1" zoomScale="110" zoomScaleNormal="110" zoomScalePageLayoutView="0" workbookViewId="0" topLeftCell="A1">
      <selection activeCell="A6" sqref="A6"/>
    </sheetView>
  </sheetViews>
  <sheetFormatPr defaultColWidth="11.421875" defaultRowHeight="12.75"/>
  <cols>
    <col min="1" max="1" width="17.140625" style="1" customWidth="1"/>
    <col min="2" max="2" width="14.00390625" style="1" customWidth="1"/>
    <col min="3" max="3" width="9.7109375" style="1" customWidth="1"/>
    <col min="4" max="4" width="23.421875" style="1" customWidth="1"/>
    <col min="5" max="5" width="13.7109375" style="1" customWidth="1"/>
    <col min="6" max="6" width="15.140625" style="1" customWidth="1"/>
    <col min="7" max="7" width="31.00390625" style="1" customWidth="1"/>
    <col min="8" max="8" width="23.8515625" style="1" customWidth="1"/>
    <col min="9" max="9" width="15.57421875" style="1" customWidth="1"/>
    <col min="10" max="10" width="12.28125" style="1" customWidth="1"/>
    <col min="11" max="11" width="14.57421875" style="2" customWidth="1"/>
    <col min="12" max="16384" width="11.421875" style="1" customWidth="1"/>
  </cols>
  <sheetData>
    <row r="1" spans="1:11" ht="26.25">
      <c r="A1" s="179" t="s">
        <v>40</v>
      </c>
      <c r="B1" s="179"/>
      <c r="C1" s="179"/>
      <c r="D1" s="179"/>
      <c r="E1" s="179"/>
      <c r="F1" s="179"/>
      <c r="G1" s="179"/>
      <c r="H1" s="179"/>
      <c r="I1" s="179"/>
      <c r="J1" s="179"/>
      <c r="K1" s="179"/>
    </row>
    <row r="3" spans="1:2" ht="15">
      <c r="A3" s="3" t="s">
        <v>41</v>
      </c>
      <c r="B3" s="1" t="s">
        <v>42</v>
      </c>
    </row>
    <row r="4" spans="1:2" ht="15">
      <c r="A4" s="3"/>
      <c r="B4" s="1" t="s">
        <v>60</v>
      </c>
    </row>
    <row r="5" spans="1:2" ht="15">
      <c r="A5" s="3"/>
      <c r="B5" s="1" t="s">
        <v>43</v>
      </c>
    </row>
    <row r="6" ht="15">
      <c r="A6" s="3"/>
    </row>
    <row r="7" ht="15">
      <c r="A7" s="4" t="s">
        <v>44</v>
      </c>
    </row>
    <row r="8" spans="1:12" ht="15">
      <c r="A8" s="3"/>
      <c r="H8" s="1">
        <f>+B23</f>
        <v>-181705.78512396695</v>
      </c>
      <c r="I8" s="1">
        <v>7800</v>
      </c>
      <c r="J8" s="1">
        <v>25800</v>
      </c>
      <c r="K8" s="2">
        <f>+I8/J8</f>
        <v>0.3023255813953488</v>
      </c>
      <c r="L8" s="138">
        <f>+K8*H8</f>
        <v>-54934.307130501635</v>
      </c>
    </row>
    <row r="9" spans="1:10" ht="31.5" customHeight="1">
      <c r="A9" s="175" t="s">
        <v>57</v>
      </c>
      <c r="B9" s="175"/>
      <c r="C9" s="175"/>
      <c r="D9" s="175"/>
      <c r="E9" s="175"/>
      <c r="F9" s="175"/>
      <c r="G9" s="175"/>
      <c r="H9" s="175"/>
      <c r="I9" s="175"/>
      <c r="J9" s="175"/>
    </row>
    <row r="10" ht="15.75" thickBot="1"/>
    <row r="11" spans="1:11" ht="15.75" thickBot="1">
      <c r="A11" s="6"/>
      <c r="B11" s="180" t="s">
        <v>7</v>
      </c>
      <c r="C11" s="181"/>
      <c r="D11" s="182"/>
      <c r="E11" s="180" t="s">
        <v>8</v>
      </c>
      <c r="F11" s="181"/>
      <c r="G11" s="182"/>
      <c r="H11" s="180" t="s">
        <v>11</v>
      </c>
      <c r="I11" s="181"/>
      <c r="J11" s="182"/>
      <c r="K11" s="7"/>
    </row>
    <row r="12" spans="1:11" ht="30" thickBot="1">
      <c r="A12" s="8" t="s">
        <v>45</v>
      </c>
      <c r="B12" s="9" t="s">
        <v>59</v>
      </c>
      <c r="C12" s="10" t="s">
        <v>0</v>
      </c>
      <c r="D12" s="11" t="s">
        <v>1</v>
      </c>
      <c r="E12" s="12" t="s">
        <v>2</v>
      </c>
      <c r="F12" s="13" t="s">
        <v>3</v>
      </c>
      <c r="G12" s="11" t="s">
        <v>4</v>
      </c>
      <c r="H12" s="9" t="s">
        <v>5</v>
      </c>
      <c r="I12" s="10" t="s">
        <v>9</v>
      </c>
      <c r="J12" s="14" t="s">
        <v>10</v>
      </c>
      <c r="K12" s="15" t="s">
        <v>6</v>
      </c>
    </row>
    <row r="13" spans="1:11" ht="15">
      <c r="A13" s="16" t="s">
        <v>46</v>
      </c>
      <c r="B13" s="52">
        <v>160000</v>
      </c>
      <c r="C13" s="53">
        <v>50000</v>
      </c>
      <c r="D13" s="54">
        <v>100000</v>
      </c>
      <c r="E13" s="52">
        <v>300000</v>
      </c>
      <c r="F13" s="53">
        <v>40000</v>
      </c>
      <c r="G13" s="54">
        <v>40000</v>
      </c>
      <c r="H13" s="52">
        <v>1150000</v>
      </c>
      <c r="I13" s="55">
        <v>350000</v>
      </c>
      <c r="J13" s="53">
        <v>764000</v>
      </c>
      <c r="K13" s="56">
        <f>SUM(B13:J13)</f>
        <v>2954000</v>
      </c>
    </row>
    <row r="14" spans="1:11" ht="15">
      <c r="A14" s="16" t="s">
        <v>47</v>
      </c>
      <c r="B14" s="52">
        <v>15200</v>
      </c>
      <c r="C14" s="53">
        <v>9000</v>
      </c>
      <c r="D14" s="54">
        <v>35500</v>
      </c>
      <c r="E14" s="52">
        <v>83490</v>
      </c>
      <c r="F14" s="53">
        <v>70400</v>
      </c>
      <c r="G14" s="54">
        <v>38000</v>
      </c>
      <c r="H14" s="52">
        <v>382500</v>
      </c>
      <c r="I14" s="53">
        <v>335000</v>
      </c>
      <c r="J14" s="57">
        <v>19286</v>
      </c>
      <c r="K14" s="56">
        <f>SUM(B14:J14)</f>
        <v>988376</v>
      </c>
    </row>
    <row r="15" spans="1:11" ht="15">
      <c r="A15" s="16" t="s">
        <v>48</v>
      </c>
      <c r="B15" s="52">
        <v>3200</v>
      </c>
      <c r="C15" s="53">
        <v>1000</v>
      </c>
      <c r="D15" s="54">
        <v>33460</v>
      </c>
      <c r="E15" s="52">
        <v>150000</v>
      </c>
      <c r="F15" s="53">
        <v>1200000</v>
      </c>
      <c r="G15" s="54">
        <v>600000</v>
      </c>
      <c r="H15" s="52">
        <v>650000</v>
      </c>
      <c r="I15" s="53">
        <v>100000</v>
      </c>
      <c r="J15" s="57">
        <v>50000</v>
      </c>
      <c r="K15" s="56">
        <f>SUM(B15:J15)</f>
        <v>2787660</v>
      </c>
    </row>
    <row r="16" spans="1:11" ht="15">
      <c r="A16" s="67" t="s">
        <v>12</v>
      </c>
      <c r="B16" s="68">
        <f>SUM(B13:B15)</f>
        <v>178400</v>
      </c>
      <c r="C16" s="68">
        <f aca="true" t="shared" si="0" ref="C16:K16">SUM(C13:C15)</f>
        <v>60000</v>
      </c>
      <c r="D16" s="69">
        <f t="shared" si="0"/>
        <v>168960</v>
      </c>
      <c r="E16" s="68">
        <f t="shared" si="0"/>
        <v>533490</v>
      </c>
      <c r="F16" s="68">
        <f t="shared" si="0"/>
        <v>1310400</v>
      </c>
      <c r="G16" s="141">
        <f t="shared" si="0"/>
        <v>678000</v>
      </c>
      <c r="H16" s="71">
        <f t="shared" si="0"/>
        <v>2182500</v>
      </c>
      <c r="I16" s="68">
        <f t="shared" si="0"/>
        <v>785000</v>
      </c>
      <c r="J16" s="68">
        <f t="shared" si="0"/>
        <v>833286</v>
      </c>
      <c r="K16" s="144">
        <f t="shared" si="0"/>
        <v>6730036</v>
      </c>
    </row>
    <row r="17" spans="1:11" s="83" customFormat="1" ht="5.25">
      <c r="A17" s="80" t="s">
        <v>14</v>
      </c>
      <c r="B17" s="81">
        <f>B13/($K$13-$C$13)</f>
        <v>0.05509641873278237</v>
      </c>
      <c r="C17" s="81"/>
      <c r="D17" s="82">
        <f aca="true" t="shared" si="1" ref="D17:J17">D13/($K$13-$C$13)</f>
        <v>0.03443526170798898</v>
      </c>
      <c r="E17" s="81">
        <f t="shared" si="1"/>
        <v>0.10330578512396695</v>
      </c>
      <c r="F17" s="81">
        <f t="shared" si="1"/>
        <v>0.013774104683195593</v>
      </c>
      <c r="G17" s="142">
        <f t="shared" si="1"/>
        <v>0.013774104683195593</v>
      </c>
      <c r="H17" s="147">
        <f t="shared" si="1"/>
        <v>0.39600550964187325</v>
      </c>
      <c r="I17" s="81">
        <f t="shared" si="1"/>
        <v>0.12052341597796143</v>
      </c>
      <c r="J17" s="81">
        <f t="shared" si="1"/>
        <v>0.2630853994490358</v>
      </c>
      <c r="K17" s="145">
        <f>SUM(B17:J17)</f>
        <v>1</v>
      </c>
    </row>
    <row r="18" spans="1:11" ht="15">
      <c r="A18" s="73" t="s">
        <v>13</v>
      </c>
      <c r="B18" s="58">
        <f>B17*$C$16</f>
        <v>3305.785123966942</v>
      </c>
      <c r="C18" s="58"/>
      <c r="D18" s="59">
        <f aca="true" t="shared" si="2" ref="D18:J18">D17*$C$16</f>
        <v>2066.115702479339</v>
      </c>
      <c r="E18" s="58">
        <f t="shared" si="2"/>
        <v>6198.347107438017</v>
      </c>
      <c r="F18" s="58">
        <f t="shared" si="2"/>
        <v>826.4462809917355</v>
      </c>
      <c r="G18" s="64">
        <f t="shared" si="2"/>
        <v>826.4462809917355</v>
      </c>
      <c r="H18" s="63">
        <f t="shared" si="2"/>
        <v>23760.330578512396</v>
      </c>
      <c r="I18" s="58">
        <f t="shared" si="2"/>
        <v>7231.4049586776855</v>
      </c>
      <c r="J18" s="58">
        <f t="shared" si="2"/>
        <v>15785.123966942148</v>
      </c>
      <c r="K18" s="66">
        <f aca="true" t="shared" si="3" ref="K18:K24">SUM(B18:J18)</f>
        <v>60000</v>
      </c>
    </row>
    <row r="19" spans="1:11" s="90" customFormat="1" ht="12" customHeight="1">
      <c r="A19" s="84" t="s">
        <v>15</v>
      </c>
      <c r="B19" s="85"/>
      <c r="C19" s="86"/>
      <c r="D19" s="87"/>
      <c r="E19" s="85"/>
      <c r="F19" s="88">
        <f>(6000+1800)/(18000+7800)</f>
        <v>0.3023255813953488</v>
      </c>
      <c r="G19" s="89">
        <f>(12000+6000)/(18000+7800)</f>
        <v>0.6976744186046512</v>
      </c>
      <c r="H19" s="148"/>
      <c r="I19" s="86"/>
      <c r="J19" s="148"/>
      <c r="K19" s="146">
        <f t="shared" si="3"/>
        <v>1</v>
      </c>
    </row>
    <row r="20" spans="1:11" ht="15">
      <c r="A20" s="20" t="s">
        <v>61</v>
      </c>
      <c r="B20" s="18"/>
      <c r="C20" s="21"/>
      <c r="D20" s="19"/>
      <c r="E20" s="18"/>
      <c r="F20" s="139">
        <f>F19*($B$16+$B$18)</f>
        <v>54934.307130501635</v>
      </c>
      <c r="G20" s="143">
        <f>G19*($B$16+$B$18)</f>
        <v>126771.47799346532</v>
      </c>
      <c r="H20" s="149"/>
      <c r="I20" s="150"/>
      <c r="J20" s="149"/>
      <c r="K20" s="66">
        <f t="shared" si="3"/>
        <v>181705.78512396695</v>
      </c>
    </row>
    <row r="21" spans="1:11" s="90" customFormat="1" ht="5.25">
      <c r="A21" s="84" t="s">
        <v>16</v>
      </c>
      <c r="B21" s="85"/>
      <c r="C21" s="86"/>
      <c r="D21" s="87"/>
      <c r="E21" s="85"/>
      <c r="F21" s="86">
        <f>F19</f>
        <v>0.3023255813953488</v>
      </c>
      <c r="G21" s="91">
        <f>G19</f>
        <v>0.6976744186046512</v>
      </c>
      <c r="H21" s="85"/>
      <c r="I21" s="86"/>
      <c r="J21" s="89"/>
      <c r="K21" s="92">
        <f t="shared" si="3"/>
        <v>1</v>
      </c>
    </row>
    <row r="22" spans="1:11" ht="15">
      <c r="A22" s="73" t="s">
        <v>17</v>
      </c>
      <c r="B22" s="58"/>
      <c r="C22" s="61"/>
      <c r="D22" s="59"/>
      <c r="E22" s="58"/>
      <c r="F22" s="61">
        <f>F21*(-$D$23)</f>
        <v>51705.569863540266</v>
      </c>
      <c r="G22" s="19">
        <f>G21*(-$D$23)</f>
        <v>119320.54583893908</v>
      </c>
      <c r="H22" s="58"/>
      <c r="I22" s="61"/>
      <c r="J22" s="64"/>
      <c r="K22" s="60">
        <f t="shared" si="3"/>
        <v>171026.11570247935</v>
      </c>
    </row>
    <row r="23" spans="1:11" ht="20.25">
      <c r="A23" s="17"/>
      <c r="B23" s="137">
        <f>(B16+B18)*-1</f>
        <v>-181705.78512396695</v>
      </c>
      <c r="C23" s="61">
        <f>-C16</f>
        <v>-60000</v>
      </c>
      <c r="D23" s="59">
        <f>-(D16+D18)</f>
        <v>-171026.11570247935</v>
      </c>
      <c r="E23" s="58"/>
      <c r="F23" s="61"/>
      <c r="G23" s="59"/>
      <c r="H23" s="61"/>
      <c r="I23" s="63"/>
      <c r="J23" s="61"/>
      <c r="K23" s="60"/>
    </row>
    <row r="24" spans="1:11" s="2" customFormat="1" ht="15">
      <c r="A24" s="67" t="s">
        <v>52</v>
      </c>
      <c r="B24" s="70">
        <f>B16+B18+B23</f>
        <v>0</v>
      </c>
      <c r="C24" s="71">
        <f>C16+C23</f>
        <v>0</v>
      </c>
      <c r="D24" s="69">
        <f>D16+D18+D23</f>
        <v>0</v>
      </c>
      <c r="E24" s="70">
        <f>E16+E18+E20+E22</f>
        <v>539688.347107438</v>
      </c>
      <c r="F24" s="71">
        <f>F16+F18+F20+F22</f>
        <v>1417866.3232750336</v>
      </c>
      <c r="G24" s="69">
        <f>G16+G18+G20+G22</f>
        <v>924918.4701133962</v>
      </c>
      <c r="H24" s="183">
        <f>H16+H18+I16+I18+J16+J18</f>
        <v>3847562.859504132</v>
      </c>
      <c r="I24" s="183"/>
      <c r="J24" s="183"/>
      <c r="K24" s="72">
        <f t="shared" si="3"/>
        <v>6730036</v>
      </c>
    </row>
    <row r="25" spans="1:11" s="2" customFormat="1" ht="129">
      <c r="A25" s="17" t="s">
        <v>20</v>
      </c>
      <c r="B25" s="74" t="s">
        <v>49</v>
      </c>
      <c r="C25" s="24" t="s">
        <v>73</v>
      </c>
      <c r="D25" s="25" t="s">
        <v>49</v>
      </c>
      <c r="E25" s="74" t="s">
        <v>18</v>
      </c>
      <c r="F25" s="24" t="s">
        <v>19</v>
      </c>
      <c r="G25" s="25" t="s">
        <v>19</v>
      </c>
      <c r="H25" s="30"/>
      <c r="I25" s="31" t="s">
        <v>62</v>
      </c>
      <c r="J25" s="32"/>
      <c r="K25" s="20"/>
    </row>
    <row r="26" spans="1:11" s="2" customFormat="1" ht="15">
      <c r="A26" s="17" t="s">
        <v>53</v>
      </c>
      <c r="B26" s="26"/>
      <c r="C26" s="27"/>
      <c r="D26" s="28"/>
      <c r="E26" s="170">
        <f>1800000+480000</f>
        <v>2280000</v>
      </c>
      <c r="F26" s="171">
        <f>7800</f>
        <v>7800</v>
      </c>
      <c r="G26" s="172">
        <f>18000</f>
        <v>18000</v>
      </c>
      <c r="H26" s="33"/>
      <c r="I26" s="31">
        <f>H46</f>
        <v>8258473.140495868</v>
      </c>
      <c r="J26" s="32"/>
      <c r="K26" s="20"/>
    </row>
    <row r="27" spans="1:11" ht="15.75" customHeight="1" thickBot="1">
      <c r="A27" s="15"/>
      <c r="B27" s="34"/>
      <c r="C27" s="35"/>
      <c r="D27" s="36"/>
      <c r="E27" s="140">
        <f>E24/E26</f>
        <v>0.23670541539799914</v>
      </c>
      <c r="F27" s="173">
        <f>F24/F26</f>
        <v>181.77773375320945</v>
      </c>
      <c r="G27" s="174">
        <f>G24/G26</f>
        <v>51.384359450744235</v>
      </c>
      <c r="H27" s="34"/>
      <c r="I27" s="169">
        <f>H24/I26</f>
        <v>0.46589276177909933</v>
      </c>
      <c r="J27" s="37"/>
      <c r="K27" s="15"/>
    </row>
    <row r="28" spans="1:11" ht="15">
      <c r="A28" s="21"/>
      <c r="B28" s="21"/>
      <c r="C28" s="21"/>
      <c r="D28" s="21"/>
      <c r="E28" s="31"/>
      <c r="F28" s="31"/>
      <c r="G28" s="31"/>
      <c r="H28" s="21"/>
      <c r="I28" s="21"/>
      <c r="J28" s="21"/>
      <c r="K28" s="31"/>
    </row>
    <row r="29" spans="1:11" ht="15">
      <c r="A29" s="175" t="s">
        <v>50</v>
      </c>
      <c r="B29" s="175"/>
      <c r="C29" s="175"/>
      <c r="D29" s="175"/>
      <c r="E29" s="175"/>
      <c r="F29" s="175"/>
      <c r="G29" s="175"/>
      <c r="H29" s="175"/>
      <c r="I29" s="175"/>
      <c r="J29" s="175"/>
      <c r="K29" s="31"/>
    </row>
    <row r="30" spans="1:11" ht="15">
      <c r="A30" s="175" t="s">
        <v>51</v>
      </c>
      <c r="B30" s="175"/>
      <c r="C30" s="175"/>
      <c r="D30" s="175"/>
      <c r="E30" s="175"/>
      <c r="F30" s="175"/>
      <c r="G30" s="175"/>
      <c r="H30" s="175"/>
      <c r="I30" s="175"/>
      <c r="J30" s="175"/>
      <c r="K30" s="31"/>
    </row>
    <row r="31" spans="1:10" ht="15">
      <c r="A31" s="175" t="s">
        <v>58</v>
      </c>
      <c r="B31" s="175"/>
      <c r="C31" s="175"/>
      <c r="D31" s="175"/>
      <c r="E31" s="175"/>
      <c r="F31" s="175"/>
      <c r="G31" s="175"/>
      <c r="H31" s="175"/>
      <c r="I31" s="175"/>
      <c r="J31" s="175"/>
    </row>
    <row r="32" spans="2:10" ht="15">
      <c r="B32" s="5"/>
      <c r="C32" s="5"/>
      <c r="D32" s="5"/>
      <c r="E32" s="5"/>
      <c r="F32" s="5"/>
      <c r="G32" s="5"/>
      <c r="H32" s="5"/>
      <c r="I32" s="5"/>
      <c r="J32" s="5"/>
    </row>
    <row r="33" spans="1:10" ht="25.5" customHeight="1">
      <c r="A33" s="38" t="s">
        <v>54</v>
      </c>
      <c r="B33" s="38"/>
      <c r="C33" s="38"/>
      <c r="D33" s="5"/>
      <c r="E33" s="5"/>
      <c r="F33" s="5"/>
      <c r="G33" s="5"/>
      <c r="H33" s="5"/>
      <c r="I33" s="5"/>
      <c r="J33" s="5"/>
    </row>
    <row r="34" spans="5:7" ht="15.75" thickBot="1">
      <c r="E34" s="21"/>
      <c r="F34" s="21"/>
      <c r="G34" s="21"/>
    </row>
    <row r="35" spans="1:12" s="2" customFormat="1" ht="15">
      <c r="A35" s="39"/>
      <c r="B35" s="176" t="s">
        <v>21</v>
      </c>
      <c r="C35" s="177"/>
      <c r="D35" s="178"/>
      <c r="E35" s="176" t="s">
        <v>22</v>
      </c>
      <c r="F35" s="177"/>
      <c r="G35" s="178"/>
      <c r="J35" s="113" t="s">
        <v>21</v>
      </c>
      <c r="L35" s="113" t="s">
        <v>22</v>
      </c>
    </row>
    <row r="36" spans="1:12" s="45" customFormat="1" ht="15.75" thickBot="1">
      <c r="A36" s="40"/>
      <c r="B36" s="41" t="s">
        <v>23</v>
      </c>
      <c r="C36" s="42" t="s">
        <v>24</v>
      </c>
      <c r="D36" s="43" t="s">
        <v>6</v>
      </c>
      <c r="E36" s="44" t="s">
        <v>23</v>
      </c>
      <c r="F36" s="42" t="s">
        <v>24</v>
      </c>
      <c r="G36" s="43" t="s">
        <v>6</v>
      </c>
      <c r="J36" s="114"/>
      <c r="K36" s="46"/>
      <c r="L36" s="114"/>
    </row>
    <row r="37" spans="1:12" ht="33.75" customHeight="1" thickBot="1">
      <c r="A37" s="29" t="s">
        <v>25</v>
      </c>
      <c r="B37" s="62">
        <f>30000+60000</f>
        <v>90000</v>
      </c>
      <c r="C37" s="63"/>
      <c r="D37" s="65">
        <v>1800000</v>
      </c>
      <c r="E37" s="61">
        <f>6000+6000+6000+6000+12000+24000+6000</f>
        <v>66000</v>
      </c>
      <c r="F37" s="63"/>
      <c r="G37" s="65">
        <v>480000</v>
      </c>
      <c r="J37" s="17"/>
      <c r="L37" s="17"/>
    </row>
    <row r="38" spans="1:12" ht="58.5" thickBot="1">
      <c r="A38" s="100" t="s">
        <v>26</v>
      </c>
      <c r="B38" s="101">
        <f>D37</f>
        <v>1800000</v>
      </c>
      <c r="C38" s="102">
        <f>E27</f>
        <v>0.23670541539799914</v>
      </c>
      <c r="D38" s="103">
        <f>B38*C38</f>
        <v>426069.74771639844</v>
      </c>
      <c r="E38" s="104">
        <f>G37</f>
        <v>480000</v>
      </c>
      <c r="F38" s="105">
        <f>E27</f>
        <v>0.23670541539799914</v>
      </c>
      <c r="G38" s="103">
        <f>E38*F38</f>
        <v>113618.59939103959</v>
      </c>
      <c r="H38" s="106">
        <f>G38+D38</f>
        <v>539688.347107438</v>
      </c>
      <c r="I38" s="112" t="s">
        <v>65</v>
      </c>
      <c r="J38" s="115">
        <f>+B38/E26</f>
        <v>0.7894736842105263</v>
      </c>
      <c r="K38" s="116"/>
      <c r="L38" s="115">
        <f>1-J38</f>
        <v>0.21052631578947367</v>
      </c>
    </row>
    <row r="39" spans="1:12" s="2" customFormat="1" ht="60.75" thickBot="1">
      <c r="A39" s="93" t="s">
        <v>27</v>
      </c>
      <c r="B39" s="94"/>
      <c r="C39" s="95"/>
      <c r="D39" s="96">
        <f>SUM(D37:D38)</f>
        <v>2226069.7477163984</v>
      </c>
      <c r="E39" s="97"/>
      <c r="F39" s="98"/>
      <c r="G39" s="99">
        <f>SUM(G37:G38)</f>
        <v>593618.5993910396</v>
      </c>
      <c r="I39" s="47" t="s">
        <v>63</v>
      </c>
      <c r="J39" s="124">
        <v>0.7692307692307693</v>
      </c>
      <c r="K39" s="125"/>
      <c r="L39" s="115">
        <f>1-J39</f>
        <v>0.23076923076923073</v>
      </c>
    </row>
    <row r="40" spans="1:12" ht="30" thickBot="1">
      <c r="A40" s="29" t="s">
        <v>28</v>
      </c>
      <c r="B40" s="62">
        <v>6000</v>
      </c>
      <c r="C40" s="23"/>
      <c r="D40" s="79">
        <v>720000</v>
      </c>
      <c r="E40" s="61">
        <v>1800</v>
      </c>
      <c r="F40" s="23"/>
      <c r="G40" s="65">
        <v>216000</v>
      </c>
      <c r="I40" s="109" t="s">
        <v>64</v>
      </c>
      <c r="J40" s="126">
        <v>0.6666666666666666</v>
      </c>
      <c r="K40" s="125"/>
      <c r="L40" s="126">
        <f>1-J40</f>
        <v>0.33333333333333337</v>
      </c>
    </row>
    <row r="41" spans="1:12" ht="44.25" thickBot="1">
      <c r="A41" s="100" t="s">
        <v>29</v>
      </c>
      <c r="B41" s="101">
        <f>B40</f>
        <v>6000</v>
      </c>
      <c r="C41" s="105">
        <f>F27</f>
        <v>181.77773375320945</v>
      </c>
      <c r="D41" s="107">
        <f>B41*C41</f>
        <v>1090666.4025192566</v>
      </c>
      <c r="E41" s="104">
        <f>E40</f>
        <v>1800</v>
      </c>
      <c r="F41" s="105">
        <f>F27</f>
        <v>181.77773375320945</v>
      </c>
      <c r="G41" s="103">
        <f>E41*F41</f>
        <v>327199.920755777</v>
      </c>
      <c r="H41" s="106"/>
      <c r="I41" s="109" t="s">
        <v>66</v>
      </c>
      <c r="J41" s="126">
        <f>+D47</f>
        <v>0.7378299063256044</v>
      </c>
      <c r="K41" s="125"/>
      <c r="L41" s="126">
        <f>1-J41</f>
        <v>0.2621700936743956</v>
      </c>
    </row>
    <row r="42" spans="1:12" s="2" customFormat="1" ht="3.75" customHeight="1" thickBot="1">
      <c r="A42" s="93" t="s">
        <v>30</v>
      </c>
      <c r="B42" s="94"/>
      <c r="C42" s="95"/>
      <c r="D42" s="99">
        <f>SUM(D40:D41)</f>
        <v>1810666.4025192566</v>
      </c>
      <c r="E42" s="97"/>
      <c r="F42" s="98"/>
      <c r="G42" s="99">
        <f>SUM(G40:G41)</f>
        <v>543199.920755777</v>
      </c>
      <c r="J42" s="117"/>
      <c r="K42" s="118"/>
      <c r="L42" s="119"/>
    </row>
    <row r="43" spans="1:12" ht="30" thickBot="1">
      <c r="A43" s="29" t="s">
        <v>31</v>
      </c>
      <c r="B43" s="62">
        <v>12000</v>
      </c>
      <c r="C43" s="23"/>
      <c r="D43" s="79">
        <v>1440000</v>
      </c>
      <c r="E43" s="61">
        <v>6000</v>
      </c>
      <c r="F43" s="23"/>
      <c r="G43" s="65">
        <v>720000</v>
      </c>
      <c r="J43" s="119"/>
      <c r="K43" s="118"/>
      <c r="L43" s="115"/>
    </row>
    <row r="44" spans="1:12" ht="44.25" thickBot="1">
      <c r="A44" s="100" t="s">
        <v>32</v>
      </c>
      <c r="B44" s="101">
        <f>B43</f>
        <v>12000</v>
      </c>
      <c r="C44" s="105">
        <f>G27</f>
        <v>51.384359450744235</v>
      </c>
      <c r="D44" s="107">
        <f>B44*C44</f>
        <v>616612.3134089308</v>
      </c>
      <c r="E44" s="104">
        <f>E43</f>
        <v>6000</v>
      </c>
      <c r="F44" s="105">
        <f>G27</f>
        <v>51.384359450744235</v>
      </c>
      <c r="G44" s="103">
        <f>E44*F44</f>
        <v>308306.1567044654</v>
      </c>
      <c r="H44" s="106"/>
      <c r="J44" s="120"/>
      <c r="K44" s="121"/>
      <c r="L44" s="115"/>
    </row>
    <row r="45" spans="1:12" ht="3.75" customHeight="1" thickBot="1">
      <c r="A45" s="93" t="s">
        <v>33</v>
      </c>
      <c r="B45" s="108"/>
      <c r="C45" s="98"/>
      <c r="D45" s="99">
        <f>SUM(D43:D44)</f>
        <v>2056612.3134089308</v>
      </c>
      <c r="E45" s="97"/>
      <c r="F45" s="98"/>
      <c r="G45" s="99">
        <f>SUM(G43:G44)</f>
        <v>1028306.1567044654</v>
      </c>
      <c r="H45" s="2"/>
      <c r="I45" s="2"/>
      <c r="J45" s="122"/>
      <c r="K45" s="122"/>
      <c r="L45" s="123"/>
    </row>
    <row r="46" spans="1:8" ht="27.75">
      <c r="A46" s="151" t="s">
        <v>34</v>
      </c>
      <c r="B46" s="152"/>
      <c r="C46" s="153"/>
      <c r="D46" s="154">
        <f>D42+D45+D39</f>
        <v>6093348.4636445865</v>
      </c>
      <c r="E46" s="155"/>
      <c r="F46" s="156"/>
      <c r="G46" s="154">
        <f>G45+G42+G39</f>
        <v>2165124.676851282</v>
      </c>
      <c r="H46" s="157">
        <f>G46+D46</f>
        <v>8258473.140495868</v>
      </c>
    </row>
    <row r="47" spans="1:9" ht="30.75" customHeight="1" thickBot="1">
      <c r="A47" s="48" t="s">
        <v>55</v>
      </c>
      <c r="B47" s="22"/>
      <c r="C47" s="23"/>
      <c r="D47" s="49">
        <f>D46/($D$46+$G$46)</f>
        <v>0.7378299063256044</v>
      </c>
      <c r="E47" s="50"/>
      <c r="F47" s="51"/>
      <c r="G47" s="49">
        <f>G46/($D$46+$G$46)</f>
        <v>0.2621700936743956</v>
      </c>
      <c r="I47" s="1">
        <f>D46*I27</f>
        <v>2838846.944209808</v>
      </c>
    </row>
    <row r="48" spans="1:8" ht="44.25" thickBot="1">
      <c r="A48" s="100" t="s">
        <v>36</v>
      </c>
      <c r="B48" s="109"/>
      <c r="C48" s="110"/>
      <c r="D48" s="103">
        <f>$H$24*D47</f>
        <v>2838846.9442098085</v>
      </c>
      <c r="E48" s="104"/>
      <c r="F48" s="111"/>
      <c r="G48" s="103">
        <f>$H$24*G47</f>
        <v>1008715.9152943237</v>
      </c>
      <c r="H48" s="103">
        <f>+G48+D48</f>
        <v>3847562.859504132</v>
      </c>
    </row>
    <row r="49" spans="1:10" ht="15.75" thickBot="1">
      <c r="A49" s="94" t="s">
        <v>35</v>
      </c>
      <c r="B49" s="94"/>
      <c r="C49" s="95"/>
      <c r="D49" s="99">
        <f>D48+D46</f>
        <v>8932195.407854395</v>
      </c>
      <c r="E49" s="97"/>
      <c r="F49" s="98"/>
      <c r="G49" s="99">
        <f>G48+G46</f>
        <v>3173840.5921456055</v>
      </c>
      <c r="H49" s="2"/>
      <c r="I49" s="2"/>
      <c r="J49" s="2"/>
    </row>
    <row r="50" spans="1:10" ht="70.5" thickBot="1">
      <c r="A50" s="158" t="s">
        <v>37</v>
      </c>
      <c r="B50" s="159"/>
      <c r="C50" s="160"/>
      <c r="D50" s="161">
        <f>D49/30000</f>
        <v>297.73984692847984</v>
      </c>
      <c r="E50" s="162"/>
      <c r="F50" s="160"/>
      <c r="G50" s="161">
        <f>G49/6000</f>
        <v>528.9734320242676</v>
      </c>
      <c r="H50" s="163"/>
      <c r="I50" s="2"/>
      <c r="J50" s="2"/>
    </row>
    <row r="51" spans="1:8" ht="27" thickBot="1">
      <c r="A51" s="164" t="s">
        <v>38</v>
      </c>
      <c r="B51" s="164"/>
      <c r="C51" s="165"/>
      <c r="D51" s="166">
        <v>270</v>
      </c>
      <c r="E51" s="167"/>
      <c r="F51" s="165"/>
      <c r="G51" s="166">
        <v>620</v>
      </c>
      <c r="H51" s="168"/>
    </row>
    <row r="52" spans="1:10" ht="15.75" thickBot="1">
      <c r="A52" s="75" t="s">
        <v>39</v>
      </c>
      <c r="B52" s="75"/>
      <c r="C52" s="76"/>
      <c r="D52" s="77">
        <f>D51-D50</f>
        <v>-27.739846928479835</v>
      </c>
      <c r="E52" s="78"/>
      <c r="F52" s="76"/>
      <c r="G52" s="77">
        <f>G51-G50</f>
        <v>91.0265679757324</v>
      </c>
      <c r="H52" s="2"/>
      <c r="I52" s="2"/>
      <c r="J52" s="2"/>
    </row>
    <row r="54" spans="1:10" ht="15">
      <c r="A54" s="175" t="s">
        <v>56</v>
      </c>
      <c r="B54" s="175"/>
      <c r="C54" s="175"/>
      <c r="D54" s="175"/>
      <c r="E54" s="175"/>
      <c r="F54" s="175"/>
      <c r="G54" s="175"/>
      <c r="H54" s="175"/>
      <c r="I54" s="175"/>
      <c r="J54" s="175"/>
    </row>
    <row r="55" spans="1:10" ht="15">
      <c r="A55" s="175"/>
      <c r="B55" s="175"/>
      <c r="C55" s="175"/>
      <c r="D55" s="175"/>
      <c r="E55" s="175"/>
      <c r="F55" s="175"/>
      <c r="G55" s="175"/>
      <c r="H55" s="175"/>
      <c r="I55" s="175"/>
      <c r="J55" s="175"/>
    </row>
  </sheetData>
  <sheetProtection/>
  <mergeCells count="13">
    <mergeCell ref="A30:J30"/>
    <mergeCell ref="H24:J24"/>
    <mergeCell ref="H11:J11"/>
    <mergeCell ref="A55:J55"/>
    <mergeCell ref="B35:D35"/>
    <mergeCell ref="E35:G35"/>
    <mergeCell ref="A54:J54"/>
    <mergeCell ref="A1:K1"/>
    <mergeCell ref="B11:D11"/>
    <mergeCell ref="E11:G11"/>
    <mergeCell ref="A31:J31"/>
    <mergeCell ref="A9:J9"/>
    <mergeCell ref="A29:J29"/>
  </mergeCells>
  <printOptions/>
  <pageMargins left="0" right="0" top="0" bottom="0" header="0" footer="0"/>
  <pageSetup fitToHeight="1" fitToWidth="1" horizontalDpi="360" verticalDpi="360" orientation="portrait" paperSize="9" scale="56" r:id="rId1"/>
</worksheet>
</file>

<file path=xl/worksheets/sheet2.xml><?xml version="1.0" encoding="utf-8"?>
<worksheet xmlns="http://schemas.openxmlformats.org/spreadsheetml/2006/main" xmlns:r="http://schemas.openxmlformats.org/officeDocument/2006/relationships">
  <dimension ref="D6:J16"/>
  <sheetViews>
    <sheetView zoomScale="170" zoomScaleNormal="170" zoomScalePageLayoutView="0" workbookViewId="0" topLeftCell="A1">
      <selection activeCell="I9" sqref="I9"/>
    </sheetView>
  </sheetViews>
  <sheetFormatPr defaultColWidth="11.421875" defaultRowHeight="12.75"/>
  <sheetData>
    <row r="6" spans="4:10" ht="12.75">
      <c r="D6" s="127"/>
      <c r="E6" s="128"/>
      <c r="F6" s="128"/>
      <c r="G6" s="128"/>
      <c r="H6" s="128"/>
      <c r="I6" s="128"/>
      <c r="J6" s="129"/>
    </row>
    <row r="7" spans="4:10" ht="12.75">
      <c r="D7" s="130"/>
      <c r="E7" s="131"/>
      <c r="F7" s="131"/>
      <c r="G7" s="131"/>
      <c r="H7" s="131">
        <v>21</v>
      </c>
      <c r="I7" s="131">
        <v>180</v>
      </c>
      <c r="J7" s="132"/>
    </row>
    <row r="8" spans="4:10" ht="12.75">
      <c r="D8" s="130"/>
      <c r="E8" s="131"/>
      <c r="F8" s="131"/>
      <c r="G8" s="131"/>
      <c r="H8" s="131"/>
      <c r="I8" s="131"/>
      <c r="J8" s="132"/>
    </row>
    <row r="9" spans="4:10" ht="12.75">
      <c r="D9" s="130" t="s">
        <v>67</v>
      </c>
      <c r="E9" s="131"/>
      <c r="F9" s="131" t="s">
        <v>68</v>
      </c>
      <c r="G9" s="133">
        <v>0.27</v>
      </c>
      <c r="H9" s="131">
        <f>+G9*H7</f>
        <v>5.67</v>
      </c>
      <c r="I9" s="131">
        <f>+G9*I7</f>
        <v>48.6</v>
      </c>
      <c r="J9" s="132"/>
    </row>
    <row r="10" spans="4:10" ht="12.75">
      <c r="D10" s="130"/>
      <c r="E10" s="131"/>
      <c r="F10" s="131" t="s">
        <v>69</v>
      </c>
      <c r="G10" s="133">
        <v>0.27</v>
      </c>
      <c r="H10" s="131">
        <f>H9</f>
        <v>5.67</v>
      </c>
      <c r="I10" s="131"/>
      <c r="J10" s="132"/>
    </row>
    <row r="11" spans="4:10" ht="12.75">
      <c r="D11" s="130"/>
      <c r="E11" s="131"/>
      <c r="F11" s="131"/>
      <c r="G11" s="131"/>
      <c r="H11" s="131"/>
      <c r="I11" s="131"/>
      <c r="J11" s="132"/>
    </row>
    <row r="12" spans="4:10" ht="12.75">
      <c r="D12" s="130"/>
      <c r="E12" s="131"/>
      <c r="F12" s="131"/>
      <c r="G12" s="131"/>
      <c r="H12" s="131"/>
      <c r="I12" s="131"/>
      <c r="J12" s="132"/>
    </row>
    <row r="13" spans="4:10" ht="12.75">
      <c r="D13" s="130" t="s">
        <v>70</v>
      </c>
      <c r="E13" s="131" t="s">
        <v>71</v>
      </c>
      <c r="F13" s="131"/>
      <c r="G13" s="133">
        <v>0.25</v>
      </c>
      <c r="H13" s="131">
        <f>G13*H7</f>
        <v>5.25</v>
      </c>
      <c r="I13" s="131">
        <f>G13*I7</f>
        <v>45</v>
      </c>
      <c r="J13" s="132">
        <f>I13/12</f>
        <v>3.75</v>
      </c>
    </row>
    <row r="14" spans="4:10" ht="12.75">
      <c r="D14" s="130"/>
      <c r="E14" s="131"/>
      <c r="F14" s="131"/>
      <c r="G14" s="131"/>
      <c r="H14" s="131"/>
      <c r="I14" s="131"/>
      <c r="J14" s="132"/>
    </row>
    <row r="15" spans="4:10" ht="12.75">
      <c r="D15" s="130" t="s">
        <v>72</v>
      </c>
      <c r="E15" s="131"/>
      <c r="F15" s="131"/>
      <c r="G15" s="133">
        <v>0.21</v>
      </c>
      <c r="H15" s="131">
        <f>G15*H7</f>
        <v>4.41</v>
      </c>
      <c r="I15" s="131">
        <f>G15*I7</f>
        <v>37.8</v>
      </c>
      <c r="J15" s="132"/>
    </row>
    <row r="16" spans="4:10" ht="12.75">
      <c r="D16" s="134"/>
      <c r="E16" s="135"/>
      <c r="F16" s="135"/>
      <c r="G16" s="135"/>
      <c r="H16" s="135"/>
      <c r="I16" s="135"/>
      <c r="J16" s="13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Hélios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dc:creator>
  <cp:keywords/>
  <dc:description/>
  <cp:lastModifiedBy>scilien</cp:lastModifiedBy>
  <cp:lastPrinted>2007-10-15T16:55:57Z</cp:lastPrinted>
  <dcterms:created xsi:type="dcterms:W3CDTF">2002-11-28T18:56:33Z</dcterms:created>
  <dcterms:modified xsi:type="dcterms:W3CDTF">2017-03-18T13:46:24Z</dcterms:modified>
  <cp:category/>
  <cp:version/>
  <cp:contentType/>
  <cp:contentStatus/>
</cp:coreProperties>
</file>