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1490" windowHeight="7590" tabRatio="717" firstSheet="1" activeTab="5"/>
  </bookViews>
  <sheets>
    <sheet name="TD2 Marge vente flash" sheetId="1" r:id="rId1"/>
    <sheet name="TD1 Marge vente 2" sheetId="2" r:id="rId2"/>
    <sheet name="TD2 CD production" sheetId="3" r:id="rId3"/>
    <sheet name="TD2 CI production" sheetId="4" r:id="rId4"/>
    <sheet name="TD1 CA vente" sheetId="5" r:id="rId5"/>
    <sheet name="TD1 Marge vente" sheetId="6" r:id="rId6"/>
    <sheet name="TD1 marge situation" sheetId="7" r:id="rId7"/>
  </sheets>
  <calcPr calcId="125725"/>
</workbook>
</file>

<file path=xl/calcChain.xml><?xml version="1.0" encoding="utf-8"?>
<calcChain xmlns="http://schemas.openxmlformats.org/spreadsheetml/2006/main">
  <c r="K49" i="2"/>
  <c r="C48"/>
  <c r="K36" i="1"/>
  <c r="K35"/>
  <c r="K34"/>
  <c r="K33"/>
  <c r="O37"/>
  <c r="O36"/>
  <c r="O35"/>
  <c r="O34"/>
  <c r="N32"/>
  <c r="N31"/>
  <c r="N30"/>
  <c r="O24"/>
  <c r="P23"/>
  <c r="C47" i="2"/>
  <c r="C46"/>
  <c r="C45"/>
  <c r="K48"/>
  <c r="K47"/>
  <c r="K46"/>
  <c r="J44"/>
  <c r="J43"/>
  <c r="J42"/>
  <c r="L37"/>
  <c r="K30"/>
  <c r="B37"/>
  <c r="L32"/>
  <c r="K35"/>
  <c r="K34"/>
  <c r="K33"/>
  <c r="H32"/>
  <c r="G35"/>
  <c r="G34"/>
  <c r="G33"/>
  <c r="D32"/>
  <c r="C35"/>
  <c r="C34"/>
  <c r="C33"/>
  <c r="I20"/>
  <c r="I19"/>
  <c r="I18"/>
  <c r="I17"/>
  <c r="I27"/>
  <c r="I26"/>
  <c r="I25"/>
  <c r="I24"/>
  <c r="J24" i="5"/>
  <c r="J23"/>
  <c r="J22"/>
  <c r="B69" i="6"/>
  <c r="H62"/>
  <c r="N55"/>
  <c r="F62"/>
  <c r="H61"/>
  <c r="H60"/>
  <c r="F26" i="7"/>
  <c r="F29"/>
  <c r="F28"/>
  <c r="F27"/>
  <c r="I37" i="6"/>
  <c r="I36"/>
  <c r="I35"/>
  <c r="C45"/>
  <c r="H41"/>
  <c r="D41"/>
  <c r="I42"/>
  <c r="J39"/>
  <c r="F43"/>
  <c r="F42"/>
  <c r="K18" i="7"/>
  <c r="F12"/>
  <c r="B12"/>
  <c r="I21"/>
  <c r="I20"/>
  <c r="I19"/>
  <c r="D20"/>
  <c r="G18"/>
  <c r="M9"/>
  <c r="M8"/>
  <c r="M7"/>
  <c r="M6"/>
  <c r="D15"/>
  <c r="D14"/>
  <c r="D13"/>
  <c r="B15"/>
  <c r="B14"/>
  <c r="B13"/>
  <c r="H9"/>
  <c r="K8" s="1"/>
  <c r="J8"/>
  <c r="J7"/>
  <c r="J6"/>
  <c r="J9" s="1"/>
  <c r="E8"/>
  <c r="E7"/>
  <c r="E6"/>
  <c r="D9"/>
  <c r="D8"/>
  <c r="D7"/>
  <c r="D6"/>
  <c r="B9"/>
  <c r="J63" i="6"/>
  <c r="I67" s="1"/>
  <c r="G66"/>
  <c r="E68"/>
  <c r="E67"/>
  <c r="C66"/>
  <c r="A68"/>
  <c r="A67"/>
  <c r="B62"/>
  <c r="G61" s="1"/>
  <c r="F61"/>
  <c r="E61"/>
  <c r="G60"/>
  <c r="E60"/>
  <c r="F60" s="1"/>
  <c r="J55"/>
  <c r="O54" s="1"/>
  <c r="M54"/>
  <c r="N54" s="1"/>
  <c r="M53"/>
  <c r="N53" s="1"/>
  <c r="B55"/>
  <c r="G54"/>
  <c r="E54"/>
  <c r="F54" s="1"/>
  <c r="G53"/>
  <c r="E53"/>
  <c r="F53" s="1"/>
  <c r="B31" i="4"/>
  <c r="C27"/>
  <c r="J27"/>
  <c r="O27"/>
  <c r="C38"/>
  <c r="B77"/>
  <c r="H74"/>
  <c r="E74"/>
  <c r="A74"/>
  <c r="C71"/>
  <c r="C66"/>
  <c r="C58"/>
  <c r="C44"/>
  <c r="E23"/>
  <c r="E22"/>
  <c r="E21"/>
  <c r="B23"/>
  <c r="B22"/>
  <c r="B21"/>
  <c r="L10"/>
  <c r="J13"/>
  <c r="J12"/>
  <c r="J11"/>
  <c r="J10"/>
  <c r="J14" s="1"/>
  <c r="I14" s="1"/>
  <c r="D13"/>
  <c r="L13" s="1"/>
  <c r="D12"/>
  <c r="L12" s="1"/>
  <c r="D11"/>
  <c r="L11" s="1"/>
  <c r="D10"/>
  <c r="K6" i="7" l="1"/>
  <c r="K7"/>
  <c r="O53" i="6"/>
  <c r="D14" i="4"/>
  <c r="L14" s="1"/>
  <c r="C14" l="1"/>
  <c r="C43" i="6"/>
  <c r="C42"/>
  <c r="N30"/>
  <c r="F37"/>
  <c r="O29"/>
  <c r="O28"/>
  <c r="G36"/>
  <c r="G35"/>
  <c r="B37"/>
  <c r="G29"/>
  <c r="G28"/>
  <c r="E36"/>
  <c r="F36" s="1"/>
  <c r="E35"/>
  <c r="F35" s="1"/>
  <c r="J30"/>
  <c r="B30"/>
  <c r="M29"/>
  <c r="N29" s="1"/>
  <c r="M28"/>
  <c r="N28" s="1"/>
  <c r="F29"/>
  <c r="E29"/>
  <c r="E28"/>
  <c r="F28" s="1"/>
  <c r="B20"/>
  <c r="B21"/>
  <c r="G15"/>
  <c r="B19"/>
  <c r="E15"/>
  <c r="F15" s="1"/>
  <c r="F9"/>
  <c r="L9"/>
  <c r="M9" s="1"/>
  <c r="E9"/>
  <c r="F24" i="5"/>
  <c r="B24"/>
  <c r="E22" s="1"/>
  <c r="D37"/>
  <c r="G30"/>
  <c r="G31" s="1"/>
  <c r="G29"/>
  <c r="C30"/>
  <c r="C29"/>
  <c r="C31" s="1"/>
  <c r="H23"/>
  <c r="H24" s="1"/>
  <c r="H22"/>
  <c r="D23"/>
  <c r="D22"/>
  <c r="D24" s="1"/>
  <c r="C15"/>
  <c r="C14"/>
  <c r="C16" s="1"/>
  <c r="D9"/>
  <c r="D8"/>
  <c r="F73" i="3"/>
  <c r="F72"/>
  <c r="B73"/>
  <c r="B72"/>
  <c r="N68"/>
  <c r="N67"/>
  <c r="N66"/>
  <c r="N65"/>
  <c r="G67"/>
  <c r="K67"/>
  <c r="L66"/>
  <c r="L65"/>
  <c r="L68" s="1"/>
  <c r="K68" s="1"/>
  <c r="H66"/>
  <c r="H65"/>
  <c r="C67"/>
  <c r="D66"/>
  <c r="D65"/>
  <c r="G59"/>
  <c r="G58"/>
  <c r="D59"/>
  <c r="D58"/>
  <c r="K51"/>
  <c r="L51"/>
  <c r="L50"/>
  <c r="L49"/>
  <c r="L48"/>
  <c r="G51"/>
  <c r="H51"/>
  <c r="H50"/>
  <c r="H49"/>
  <c r="H48"/>
  <c r="C51"/>
  <c r="D51"/>
  <c r="D50"/>
  <c r="D49"/>
  <c r="D48"/>
  <c r="F41"/>
  <c r="F40"/>
  <c r="B41"/>
  <c r="B40"/>
  <c r="J34"/>
  <c r="H34"/>
  <c r="D34"/>
  <c r="J33"/>
  <c r="J32"/>
  <c r="H33"/>
  <c r="H32"/>
  <c r="D33"/>
  <c r="D32"/>
  <c r="J12"/>
  <c r="H19"/>
  <c r="H18"/>
  <c r="H17"/>
  <c r="H20" s="1"/>
  <c r="H16"/>
  <c r="H15"/>
  <c r="H14"/>
  <c r="H13"/>
  <c r="H12"/>
  <c r="D19"/>
  <c r="J19" s="1"/>
  <c r="D18"/>
  <c r="J18" s="1"/>
  <c r="D17"/>
  <c r="J17" s="1"/>
  <c r="D16"/>
  <c r="J16" s="1"/>
  <c r="D15"/>
  <c r="J15" s="1"/>
  <c r="D14"/>
  <c r="J14" s="1"/>
  <c r="D13"/>
  <c r="D20" s="1"/>
  <c r="J20" s="1"/>
  <c r="D12"/>
  <c r="J19" i="1"/>
  <c r="J18"/>
  <c r="J17"/>
  <c r="N19"/>
  <c r="N18"/>
  <c r="N17"/>
  <c r="L17"/>
  <c r="L18"/>
  <c r="L19"/>
  <c r="J12"/>
  <c r="I11"/>
  <c r="I10"/>
  <c r="I12"/>
  <c r="G26"/>
  <c r="I9"/>
  <c r="G25"/>
  <c r="B27" i="2"/>
  <c r="F26"/>
  <c r="E26"/>
  <c r="G26" s="1"/>
  <c r="F25"/>
  <c r="E25"/>
  <c r="G25" s="1"/>
  <c r="F24"/>
  <c r="E24"/>
  <c r="G24" s="1"/>
  <c r="G27" s="1"/>
  <c r="B20"/>
  <c r="F19" s="1"/>
  <c r="E19"/>
  <c r="G19" s="1"/>
  <c r="E18"/>
  <c r="G18" s="1"/>
  <c r="E17"/>
  <c r="G17" s="1"/>
  <c r="G12"/>
  <c r="G11"/>
  <c r="G10"/>
  <c r="G9"/>
  <c r="F11"/>
  <c r="F10"/>
  <c r="F9"/>
  <c r="B12"/>
  <c r="E11"/>
  <c r="E10"/>
  <c r="E9"/>
  <c r="N20" i="1"/>
  <c r="B28"/>
  <c r="F27"/>
  <c r="E27"/>
  <c r="G27" s="1"/>
  <c r="F26"/>
  <c r="E26"/>
  <c r="F25"/>
  <c r="E25"/>
  <c r="B20"/>
  <c r="F19" s="1"/>
  <c r="E19"/>
  <c r="G19" s="1"/>
  <c r="E18"/>
  <c r="G18" s="1"/>
  <c r="E17"/>
  <c r="G17" s="1"/>
  <c r="G12"/>
  <c r="G11"/>
  <c r="G10"/>
  <c r="G9"/>
  <c r="F11"/>
  <c r="F10"/>
  <c r="F9"/>
  <c r="B12"/>
  <c r="E11"/>
  <c r="E10"/>
  <c r="E9"/>
  <c r="B32" i="5" l="1"/>
  <c r="D10"/>
  <c r="C38"/>
  <c r="E23"/>
  <c r="D42" s="1"/>
  <c r="I23"/>
  <c r="I22"/>
  <c r="D68" i="3"/>
  <c r="C68" s="1"/>
  <c r="J13"/>
  <c r="G20" i="2"/>
  <c r="F17"/>
  <c r="F18"/>
  <c r="L20" i="1"/>
  <c r="J20"/>
  <c r="G28"/>
  <c r="F17"/>
  <c r="F18"/>
  <c r="G20"/>
  <c r="D41" i="5" l="1"/>
  <c r="D43" s="1"/>
  <c r="C44" s="1"/>
  <c r="J22" i="1"/>
  <c r="H68" i="3" l="1"/>
  <c r="G68" s="1"/>
</calcChain>
</file>

<file path=xl/sharedStrings.xml><?xml version="1.0" encoding="utf-8"?>
<sst xmlns="http://schemas.openxmlformats.org/spreadsheetml/2006/main" count="451" uniqueCount="184">
  <si>
    <t>AT</t>
  </si>
  <si>
    <t>AN</t>
  </si>
  <si>
    <t>CM</t>
  </si>
  <si>
    <t>Q</t>
  </si>
  <si>
    <t>P</t>
  </si>
  <si>
    <t>CU</t>
  </si>
  <si>
    <t>mu</t>
  </si>
  <si>
    <t>compo</t>
  </si>
  <si>
    <t>total</t>
  </si>
  <si>
    <t>écarts</t>
  </si>
  <si>
    <t>écart de compo</t>
  </si>
  <si>
    <t>écart de mu</t>
  </si>
  <si>
    <t>écart de volume</t>
  </si>
  <si>
    <t>cas 1</t>
  </si>
  <si>
    <t>réel</t>
  </si>
  <si>
    <t>C</t>
  </si>
  <si>
    <t>marge</t>
  </si>
  <si>
    <t>T</t>
  </si>
  <si>
    <t>ecarts</t>
  </si>
  <si>
    <t>Qr</t>
  </si>
  <si>
    <t>Pr</t>
  </si>
  <si>
    <t>Cur</t>
  </si>
  <si>
    <t>mur</t>
  </si>
  <si>
    <t>compor</t>
  </si>
  <si>
    <t>Qp</t>
  </si>
  <si>
    <t>Pp</t>
  </si>
  <si>
    <t>Cup</t>
  </si>
  <si>
    <t>mup</t>
  </si>
  <si>
    <t>compop</t>
  </si>
  <si>
    <t>mu/cp</t>
  </si>
  <si>
    <t>atelier de production</t>
  </si>
  <si>
    <t>matière m</t>
  </si>
  <si>
    <t>matière n</t>
  </si>
  <si>
    <t>mod</t>
  </si>
  <si>
    <t>frais d'atelier</t>
  </si>
  <si>
    <t>atelier emballage</t>
  </si>
  <si>
    <t>emballages</t>
  </si>
  <si>
    <t>frais de centre</t>
  </si>
  <si>
    <t>coût total</t>
  </si>
  <si>
    <t>M</t>
  </si>
  <si>
    <t>25*0,2</t>
  </si>
  <si>
    <t>Ecarts</t>
  </si>
  <si>
    <t>Dans l'ensemble les réalisations ont été conformes aux prévisions, même si elles sont généralement moins favorables. L'écart sur coût de production pour le mois de février ne représente que 1,27% du coût préétable de la prouction réelle</t>
  </si>
  <si>
    <t>Entreprise Z</t>
  </si>
  <si>
    <t>QrPr</t>
  </si>
  <si>
    <t>matières</t>
  </si>
  <si>
    <t>MOD</t>
  </si>
  <si>
    <t>QpPp</t>
  </si>
  <si>
    <t>1500*1/60</t>
  </si>
  <si>
    <t>écart de prix</t>
  </si>
  <si>
    <t>écart de quantité</t>
  </si>
  <si>
    <t>Entreprise Y</t>
  </si>
  <si>
    <t>Duchaussoy</t>
  </si>
  <si>
    <t>préétabli</t>
  </si>
  <si>
    <t>MP</t>
  </si>
  <si>
    <t>atelier</t>
  </si>
  <si>
    <t>QrCUr</t>
  </si>
  <si>
    <t>préétabli ajusté</t>
  </si>
  <si>
    <t>45/50*10000</t>
  </si>
  <si>
    <t>130100- 126000 =4100</t>
  </si>
  <si>
    <t>Ecart sur quantité</t>
  </si>
  <si>
    <t>Ecart sur prix</t>
  </si>
  <si>
    <t>Ecart global</t>
  </si>
  <si>
    <t>Manchon</t>
  </si>
  <si>
    <t>CI</t>
  </si>
  <si>
    <t>11480/12000*12000</t>
  </si>
  <si>
    <t>écart sur prix</t>
  </si>
  <si>
    <t>écart sur quantité</t>
  </si>
  <si>
    <t>Réel</t>
  </si>
  <si>
    <t>PU</t>
  </si>
  <si>
    <t>CA</t>
  </si>
  <si>
    <t>vérification</t>
  </si>
  <si>
    <t>CA Total</t>
  </si>
  <si>
    <t>écart</t>
  </si>
  <si>
    <t>Pain</t>
  </si>
  <si>
    <t>Baguette</t>
  </si>
  <si>
    <t>Prévisions</t>
  </si>
  <si>
    <t>Réalisé</t>
  </si>
  <si>
    <t>Ecart total</t>
  </si>
  <si>
    <t>Vérification</t>
  </si>
  <si>
    <t>Préétabli</t>
  </si>
  <si>
    <t>Exercice 2</t>
  </si>
  <si>
    <t>Décomposition de l'écart total</t>
  </si>
  <si>
    <t>Décomposition de l'écart sur quantité</t>
  </si>
  <si>
    <t>écart sur volume</t>
  </si>
  <si>
    <t>PMpp</t>
  </si>
  <si>
    <t>Ecart sur composition</t>
  </si>
  <si>
    <t>Exercice 1</t>
  </si>
  <si>
    <t>Exercice 4</t>
  </si>
  <si>
    <t>cartables</t>
  </si>
  <si>
    <t>MU</t>
  </si>
  <si>
    <t>Marge réelle</t>
  </si>
  <si>
    <t>Marge préét</t>
  </si>
  <si>
    <t>écart sur mu</t>
  </si>
  <si>
    <t>écart sur Qté</t>
  </si>
  <si>
    <t>marge réelle sur CP</t>
  </si>
  <si>
    <t>Exercice 5</t>
  </si>
  <si>
    <t>Brioche</t>
  </si>
  <si>
    <t>Marge réelle sur CP</t>
  </si>
  <si>
    <t>Marge préétabli</t>
  </si>
  <si>
    <t>écart sur marge</t>
  </si>
  <si>
    <t>Préétabli ajusté au réel</t>
  </si>
  <si>
    <t>Exercice 3</t>
  </si>
  <si>
    <t>matière alu</t>
  </si>
  <si>
    <t>matière fonte</t>
  </si>
  <si>
    <t>centre atelier</t>
  </si>
  <si>
    <t>5000*12900/10000</t>
  </si>
  <si>
    <t>Ecart</t>
  </si>
  <si>
    <t>Décomposition de l'écart sur CI</t>
  </si>
  <si>
    <t>Décomposition de l'écart sur CD</t>
  </si>
  <si>
    <t>écart sur prix/coût</t>
  </si>
  <si>
    <t>écart sur budget</t>
  </si>
  <si>
    <t>Cout réel - budget flexible de l'activité réelle</t>
  </si>
  <si>
    <t>(CUOer*NUOer)-[ (cvUOep*NUOer)+CFTp]</t>
  </si>
  <si>
    <t>écart sur activité</t>
  </si>
  <si>
    <t>calcul du budget standard</t>
  </si>
  <si>
    <t>prévue 12000</t>
  </si>
  <si>
    <t>donc</t>
  </si>
  <si>
    <t>768h</t>
  </si>
  <si>
    <t>CV</t>
  </si>
  <si>
    <t>30*768</t>
  </si>
  <si>
    <t>CF</t>
  </si>
  <si>
    <t>35*768</t>
  </si>
  <si>
    <t>calcul du budget flexible</t>
  </si>
  <si>
    <t>30*800</t>
  </si>
  <si>
    <t>budget flexible -coût  préétabli de l'activité réelle</t>
  </si>
  <si>
    <t>[ (cvUOep*NUOer)+CFTp]- (CUOep * NUOer)</t>
  </si>
  <si>
    <t>écart dur rendement</t>
  </si>
  <si>
    <t>Coût préétabli de l'activité réelle - coût préétabli de la production réelle</t>
  </si>
  <si>
    <t>(CUOep*NUOer) - (CUOep *NUOep de la production réelle)</t>
  </si>
  <si>
    <t>Cout réel de Uoe sachant qu'il y a une sous activité de 10%</t>
  </si>
  <si>
    <t>Activité réelle= activité normale *90%= 1800</t>
  </si>
  <si>
    <t>Coût réel = 216000/1800 = 120</t>
  </si>
  <si>
    <t>Budget ajusté à la production réelle</t>
  </si>
  <si>
    <t>il faut 2000 en préétabli pour produire 5000 donc pour 4540  il faut 1816</t>
  </si>
  <si>
    <t>25*1816</t>
  </si>
  <si>
    <t>75*1816</t>
  </si>
  <si>
    <t>Budget standard</t>
  </si>
  <si>
    <t>25*2000</t>
  </si>
  <si>
    <t>75*2000</t>
  </si>
  <si>
    <t>Budget flexible</t>
  </si>
  <si>
    <t>25*1800</t>
  </si>
  <si>
    <t>Ecart global  coût réel - coût préétabli ajusté à la production réelle</t>
  </si>
  <si>
    <t>216000-181600 = 34400</t>
  </si>
  <si>
    <t>Ecart sur budget</t>
  </si>
  <si>
    <t>écart sur rendement</t>
  </si>
  <si>
    <t xml:space="preserve">Cout réel </t>
  </si>
  <si>
    <t>Préét ajusté au réel</t>
  </si>
  <si>
    <t>Exercice supplémentaire</t>
  </si>
  <si>
    <t>P1</t>
  </si>
  <si>
    <t>P2</t>
  </si>
  <si>
    <t>Marge réelle/ Cp</t>
  </si>
  <si>
    <t>Mumpp</t>
  </si>
  <si>
    <t>CAR</t>
  </si>
  <si>
    <t>études</t>
  </si>
  <si>
    <t>direction de travaux</t>
  </si>
  <si>
    <t>conduites d'opérations</t>
  </si>
  <si>
    <t>montant</t>
  </si>
  <si>
    <t>CAP</t>
  </si>
  <si>
    <t>pmpp</t>
  </si>
  <si>
    <t>Situation 2</t>
  </si>
  <si>
    <t>(compo r - compo p)QTr*pp</t>
  </si>
  <si>
    <t>(QTR-QTP)*pmpp</t>
  </si>
  <si>
    <t>(mur-mup)*QTr</t>
  </si>
  <si>
    <t>(QTr-QTp)*pp</t>
  </si>
  <si>
    <t>mmpp</t>
  </si>
  <si>
    <t>( QTr-QTP)* compop*pp</t>
  </si>
  <si>
    <t>écart de volume deuxième facon</t>
  </si>
  <si>
    <r>
      <t>((</t>
    </r>
    <r>
      <rPr>
        <sz val="11"/>
        <color rgb="FFFF0000"/>
        <rFont val="Calibri"/>
        <family val="2"/>
        <scheme val="minor"/>
      </rPr>
      <t>Compor</t>
    </r>
    <r>
      <rPr>
        <sz val="11"/>
        <color theme="1"/>
        <rFont val="Calibri"/>
        <family val="2"/>
        <scheme val="minor"/>
      </rPr>
      <t>*QTr)-(QTr*</t>
    </r>
    <r>
      <rPr>
        <sz val="11"/>
        <color rgb="FFFF0000"/>
        <rFont val="Calibri"/>
        <family val="2"/>
        <scheme val="minor"/>
      </rPr>
      <t>compop</t>
    </r>
    <r>
      <rPr>
        <sz val="11"/>
        <color theme="1"/>
        <rFont val="Calibri"/>
        <family val="2"/>
        <scheme val="minor"/>
      </rPr>
      <t>))*pp</t>
    </r>
  </si>
  <si>
    <r>
      <t>((Compor*</t>
    </r>
    <r>
      <rPr>
        <sz val="11"/>
        <color rgb="FFFF0000"/>
        <rFont val="Calibri"/>
        <family val="2"/>
        <scheme val="minor"/>
      </rPr>
      <t>QTr</t>
    </r>
    <r>
      <rPr>
        <sz val="11"/>
        <color theme="1"/>
        <rFont val="Calibri"/>
        <family val="2"/>
        <scheme val="minor"/>
      </rPr>
      <t>)-(</t>
    </r>
    <r>
      <rPr>
        <sz val="11"/>
        <color rgb="FFFF0000"/>
        <rFont val="Calibri"/>
        <family val="2"/>
        <scheme val="minor"/>
      </rPr>
      <t>QTp</t>
    </r>
    <r>
      <rPr>
        <sz val="11"/>
        <color theme="1"/>
        <rFont val="Calibri"/>
        <family val="2"/>
        <scheme val="minor"/>
      </rPr>
      <t>*compop))*pp</t>
    </r>
  </si>
  <si>
    <t>CA Réel</t>
  </si>
  <si>
    <t>Décomposition de l'écart</t>
  </si>
  <si>
    <t>Coût Réel</t>
  </si>
  <si>
    <t>Coûts Rééls</t>
  </si>
  <si>
    <t>Coûts  préétablis</t>
  </si>
  <si>
    <t>marge réelle</t>
  </si>
  <si>
    <t>marge préétablie</t>
  </si>
  <si>
    <t>marge réelle sur cp</t>
  </si>
  <si>
    <t>ou</t>
  </si>
  <si>
    <t>Qr si compo préet</t>
  </si>
  <si>
    <t>Qp compop</t>
  </si>
  <si>
    <t>Qr compor</t>
  </si>
  <si>
    <t>Qr compop</t>
  </si>
  <si>
    <t>QTr*compop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</si>
</sst>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2" borderId="0" xfId="0" applyFill="1"/>
    <xf numFmtId="0" fontId="0" fillId="0" borderId="1" xfId="0" applyBorder="1"/>
    <xf numFmtId="0" fontId="0" fillId="2" borderId="1" xfId="0" applyFill="1" applyBorder="1"/>
    <xf numFmtId="0" fontId="2" fillId="0" borderId="0" xfId="0" applyFont="1"/>
    <xf numFmtId="0" fontId="3" fillId="0" borderId="0" xfId="0" applyFont="1"/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2" fillId="0" borderId="1" xfId="0" applyFont="1" applyBorder="1"/>
    <xf numFmtId="0" fontId="0" fillId="0" borderId="0" xfId="0" applyBorder="1"/>
    <xf numFmtId="0" fontId="0" fillId="2" borderId="0" xfId="0" applyFill="1" applyAlignment="1">
      <alignment wrapText="1"/>
    </xf>
    <xf numFmtId="0" fontId="0" fillId="0" borderId="0" xfId="0" applyFill="1" applyAlignment="1">
      <alignment wrapText="1"/>
    </xf>
    <xf numFmtId="0" fontId="5" fillId="0" borderId="0" xfId="0" applyFont="1"/>
    <xf numFmtId="0" fontId="0" fillId="0" borderId="0" xfId="0" applyAlignment="1"/>
    <xf numFmtId="0" fontId="7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4" borderId="0" xfId="0" applyFill="1" applyAlignment="1"/>
    <xf numFmtId="0" fontId="0" fillId="4" borderId="0" xfId="0" applyFill="1"/>
    <xf numFmtId="0" fontId="2" fillId="4" borderId="0" xfId="0" applyFont="1" applyFill="1" applyAlignment="1"/>
    <xf numFmtId="0" fontId="8" fillId="0" borderId="0" xfId="0" applyFont="1"/>
    <xf numFmtId="0" fontId="0" fillId="0" borderId="4" xfId="0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9" fillId="0" borderId="1" xfId="0" applyFont="1" applyBorder="1"/>
    <xf numFmtId="0" fontId="0" fillId="0" borderId="0" xfId="0" applyAlignment="1">
      <alignment wrapText="1"/>
    </xf>
    <xf numFmtId="0" fontId="10" fillId="0" borderId="0" xfId="0" applyFont="1" applyAlignment="1"/>
    <xf numFmtId="0" fontId="10" fillId="0" borderId="0" xfId="0" applyFont="1"/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10" borderId="1" xfId="0" applyFill="1" applyBorder="1"/>
    <xf numFmtId="0" fontId="0" fillId="10" borderId="1" xfId="0" applyFill="1" applyBorder="1" applyAlignment="1">
      <alignment horizontal="center"/>
    </xf>
    <xf numFmtId="0" fontId="0" fillId="0" borderId="5" xfId="0" applyBorder="1"/>
    <xf numFmtId="0" fontId="0" fillId="0" borderId="1" xfId="0" applyBorder="1" applyAlignment="1"/>
    <xf numFmtId="0" fontId="0" fillId="0" borderId="2" xfId="0" applyBorder="1"/>
    <xf numFmtId="0" fontId="9" fillId="0" borderId="2" xfId="0" applyFont="1" applyBorder="1"/>
    <xf numFmtId="0" fontId="0" fillId="4" borderId="1" xfId="0" applyFill="1" applyBorder="1" applyAlignment="1">
      <alignment horizontal="center"/>
    </xf>
    <xf numFmtId="0" fontId="0" fillId="0" borderId="1" xfId="0" applyFill="1" applyBorder="1"/>
    <xf numFmtId="0" fontId="0" fillId="3" borderId="1" xfId="0" applyFill="1" applyBorder="1" applyAlignment="1">
      <alignment horizontal="center"/>
    </xf>
    <xf numFmtId="0" fontId="9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0" fillId="13" borderId="0" xfId="0" applyFill="1"/>
    <xf numFmtId="0" fontId="2" fillId="0" borderId="0" xfId="0" applyFont="1" applyBorder="1"/>
    <xf numFmtId="0" fontId="6" fillId="0" borderId="1" xfId="0" applyFont="1" applyBorder="1"/>
    <xf numFmtId="0" fontId="0" fillId="14" borderId="0" xfId="0" applyFill="1"/>
    <xf numFmtId="0" fontId="0" fillId="0" borderId="0" xfId="0" applyFill="1"/>
    <xf numFmtId="0" fontId="0" fillId="11" borderId="1" xfId="0" applyFill="1" applyBorder="1"/>
    <xf numFmtId="0" fontId="0" fillId="9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2" borderId="1" xfId="0" applyFill="1" applyBorder="1"/>
    <xf numFmtId="0" fontId="2" fillId="7" borderId="1" xfId="0" applyFont="1" applyFill="1" applyBorder="1"/>
    <xf numFmtId="0" fontId="0" fillId="15" borderId="1" xfId="0" applyFill="1" applyBorder="1"/>
    <xf numFmtId="0" fontId="2" fillId="15" borderId="1" xfId="0" applyFont="1" applyFill="1" applyBorder="1"/>
    <xf numFmtId="0" fontId="0" fillId="5" borderId="2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6" borderId="1" xfId="0" applyFill="1" applyBorder="1"/>
    <xf numFmtId="0" fontId="9" fillId="0" borderId="0" xfId="0" applyFont="1" applyBorder="1"/>
    <xf numFmtId="0" fontId="0" fillId="6" borderId="0" xfId="0" applyFill="1"/>
    <xf numFmtId="0" fontId="0" fillId="13" borderId="1" xfId="0" applyFill="1" applyBorder="1" applyAlignment="1">
      <alignment horizontal="center"/>
    </xf>
    <xf numFmtId="0" fontId="0" fillId="7" borderId="0" xfId="0" applyFill="1"/>
    <xf numFmtId="0" fontId="0" fillId="14" borderId="1" xfId="0" applyFill="1" applyBorder="1"/>
    <xf numFmtId="0" fontId="9" fillId="14" borderId="0" xfId="0" applyFont="1" applyFill="1" applyBorder="1"/>
    <xf numFmtId="0" fontId="9" fillId="14" borderId="0" xfId="0" applyFont="1" applyFill="1"/>
    <xf numFmtId="0" fontId="0" fillId="11" borderId="6" xfId="0" applyFill="1" applyBorder="1"/>
    <xf numFmtId="0" fontId="0" fillId="9" borderId="6" xfId="0" applyFill="1" applyBorder="1"/>
    <xf numFmtId="0" fontId="0" fillId="12" borderId="6" xfId="0" applyFill="1" applyBorder="1"/>
    <xf numFmtId="0" fontId="9" fillId="14" borderId="1" xfId="0" applyFont="1" applyFill="1" applyBorder="1"/>
    <xf numFmtId="0" fontId="11" fillId="14" borderId="0" xfId="0" applyFont="1" applyFill="1" applyAlignment="1"/>
    <xf numFmtId="0" fontId="2" fillId="2" borderId="1" xfId="0" applyFont="1" applyFill="1" applyBorder="1"/>
    <xf numFmtId="0" fontId="2" fillId="14" borderId="0" xfId="0" applyFont="1" applyFill="1"/>
    <xf numFmtId="0" fontId="4" fillId="1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1</xdr:row>
      <xdr:rowOff>47625</xdr:rowOff>
    </xdr:from>
    <xdr:to>
      <xdr:col>12</xdr:col>
      <xdr:colOff>628650</xdr:colOff>
      <xdr:row>5</xdr:row>
      <xdr:rowOff>0</xdr:rowOff>
    </xdr:to>
    <xdr:sp macro="" textlink="">
      <xdr:nvSpPr>
        <xdr:cNvPr id="2" name="ZoneTexte 1"/>
        <xdr:cNvSpPr txBox="1"/>
      </xdr:nvSpPr>
      <xdr:spPr>
        <a:xfrm>
          <a:off x="4752975" y="238125"/>
          <a:ext cx="50196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marge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0</xdr:row>
      <xdr:rowOff>0</xdr:rowOff>
    </xdr:from>
    <xdr:to>
      <xdr:col>10</xdr:col>
      <xdr:colOff>123825</xdr:colOff>
      <xdr:row>3</xdr:row>
      <xdr:rowOff>142875</xdr:rowOff>
    </xdr:to>
    <xdr:sp macro="" textlink="">
      <xdr:nvSpPr>
        <xdr:cNvPr id="3" name="ZoneTexte 2"/>
        <xdr:cNvSpPr txBox="1"/>
      </xdr:nvSpPr>
      <xdr:spPr>
        <a:xfrm>
          <a:off x="3286125" y="0"/>
          <a:ext cx="50196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marge</a:t>
          </a:r>
        </a:p>
      </xdr:txBody>
    </xdr:sp>
    <xdr:clientData/>
  </xdr:twoCellAnchor>
  <xdr:twoCellAnchor>
    <xdr:from>
      <xdr:col>3</xdr:col>
      <xdr:colOff>133350</xdr:colOff>
      <xdr:row>46</xdr:row>
      <xdr:rowOff>133350</xdr:rowOff>
    </xdr:from>
    <xdr:to>
      <xdr:col>8</xdr:col>
      <xdr:colOff>933450</xdr:colOff>
      <xdr:row>53</xdr:row>
      <xdr:rowOff>142875</xdr:rowOff>
    </xdr:to>
    <xdr:sp macro="" textlink="">
      <xdr:nvSpPr>
        <xdr:cNvPr id="4" name="ZoneTexte 3"/>
        <xdr:cNvSpPr txBox="1"/>
      </xdr:nvSpPr>
      <xdr:spPr>
        <a:xfrm>
          <a:off x="2419350" y="9058275"/>
          <a:ext cx="4695825" cy="1714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Il y a</a:t>
          </a:r>
          <a:r>
            <a:rPr lang="fr-FR" sz="1100" baseline="0"/>
            <a:t> plusieurs façons de décomposer les écarts sur volume et sur compo</a:t>
          </a:r>
        </a:p>
        <a:p>
          <a:r>
            <a:rPr lang="fr-FR" sz="1100" spc="300" baseline="0"/>
            <a:t>pour le volume</a:t>
          </a:r>
          <a:r>
            <a:rPr lang="fr-FR" sz="1100" baseline="0"/>
            <a:t>:</a:t>
          </a:r>
        </a:p>
        <a:p>
          <a:r>
            <a:rPr lang="fr-FR" sz="1100" baseline="0"/>
            <a:t>- 1 en utilisant la formule factorisée (QTr-QTp)*compop*mup pour chaque produit</a:t>
          </a:r>
        </a:p>
        <a:p>
          <a:r>
            <a:rPr lang="fr-FR" sz="1100" baseline="0"/>
            <a:t>- 2 en utilisant la mmpp (QTr-QTP)*mmpp</a:t>
          </a:r>
        </a:p>
        <a:p>
          <a:r>
            <a:rPr lang="fr-FR" sz="1100" baseline="0"/>
            <a:t>- 3 en utilisant la formule développée ((QTr*compop)-(QTp*compop))*mup pour chaque produits</a:t>
          </a:r>
        </a:p>
        <a:p>
          <a:endParaRPr lang="fr-FR" sz="1100" baseline="0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FR" sz="1100" spc="300" baseline="0">
              <a:solidFill>
                <a:schemeClr val="dk1"/>
              </a:solidFill>
              <a:latin typeface="+mn-lt"/>
              <a:ea typeface="+mn-ea"/>
              <a:cs typeface="+mn-cs"/>
            </a:rPr>
            <a:t>pour la compo:</a:t>
          </a:r>
        </a:p>
        <a:p>
          <a:r>
            <a:rPr lang="fr-FR" sz="1100"/>
            <a:t>-1 en utilisant la formule factorisée (compor -compop)</a:t>
          </a:r>
          <a:r>
            <a:rPr lang="fr-FR" sz="1100" baseline="0"/>
            <a:t> *QTr*mup</a:t>
          </a:r>
        </a:p>
        <a:p>
          <a:r>
            <a:rPr lang="fr-FR" sz="1100" baseline="0"/>
            <a:t>-2 en utilisant la formule développée ((compor*QTr)-(compop*QTr))*mup</a:t>
          </a:r>
          <a:endParaRPr lang="fr-F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1</xdr:row>
      <xdr:rowOff>1</xdr:rowOff>
    </xdr:from>
    <xdr:to>
      <xdr:col>10</xdr:col>
      <xdr:colOff>114300</xdr:colOff>
      <xdr:row>4</xdr:row>
      <xdr:rowOff>152401</xdr:rowOff>
    </xdr:to>
    <xdr:sp macro="" textlink="">
      <xdr:nvSpPr>
        <xdr:cNvPr id="2" name="ZoneTexte 1"/>
        <xdr:cNvSpPr txBox="1"/>
      </xdr:nvSpPr>
      <xdr:spPr>
        <a:xfrm>
          <a:off x="2657475" y="190501"/>
          <a:ext cx="6257925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production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628650</xdr:colOff>
      <xdr:row>0</xdr:row>
      <xdr:rowOff>57150</xdr:rowOff>
    </xdr:from>
    <xdr:to>
      <xdr:col>9</xdr:col>
      <xdr:colOff>476250</xdr:colOff>
      <xdr:row>4</xdr:row>
      <xdr:rowOff>66675</xdr:rowOff>
    </xdr:to>
    <xdr:sp macro="" textlink="">
      <xdr:nvSpPr>
        <xdr:cNvPr id="2" name="ZoneTexte 1"/>
        <xdr:cNvSpPr txBox="1"/>
      </xdr:nvSpPr>
      <xdr:spPr>
        <a:xfrm>
          <a:off x="2228850" y="57150"/>
          <a:ext cx="6257925" cy="771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production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752475</xdr:colOff>
      <xdr:row>0</xdr:row>
      <xdr:rowOff>180976</xdr:rowOff>
    </xdr:from>
    <xdr:to>
      <xdr:col>10</xdr:col>
      <xdr:colOff>95250</xdr:colOff>
      <xdr:row>3</xdr:row>
      <xdr:rowOff>257176</xdr:rowOff>
    </xdr:to>
    <xdr:sp macro="" textlink="">
      <xdr:nvSpPr>
        <xdr:cNvPr id="2" name="ZoneTexte 1"/>
        <xdr:cNvSpPr txBox="1"/>
      </xdr:nvSpPr>
      <xdr:spPr>
        <a:xfrm>
          <a:off x="4029075" y="180976"/>
          <a:ext cx="5019675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du CA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70</xdr:row>
      <xdr:rowOff>123824</xdr:rowOff>
    </xdr:from>
    <xdr:to>
      <xdr:col>11</xdr:col>
      <xdr:colOff>371475</xdr:colOff>
      <xdr:row>86</xdr:row>
      <xdr:rowOff>19050</xdr:rowOff>
    </xdr:to>
    <xdr:sp macro="" textlink="">
      <xdr:nvSpPr>
        <xdr:cNvPr id="2" name="ZoneTexte 1"/>
        <xdr:cNvSpPr txBox="1"/>
      </xdr:nvSpPr>
      <xdr:spPr>
        <a:xfrm>
          <a:off x="171449" y="13039724"/>
          <a:ext cx="8620126" cy="29432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800" b="1"/>
            <a:t>Rappels</a:t>
          </a:r>
        </a:p>
        <a:p>
          <a:r>
            <a:rPr lang="fr-FR" sz="1100" spc="300" baseline="0"/>
            <a:t>écart de compo</a:t>
          </a:r>
        </a:p>
        <a:p>
          <a:r>
            <a:rPr lang="fr-FR" sz="1100"/>
            <a:t>(compor - compo p) QTr *mup</a:t>
          </a:r>
        </a:p>
        <a:p>
          <a:r>
            <a:rPr lang="fr-FR" sz="1100"/>
            <a:t>ou</a:t>
          </a:r>
        </a:p>
        <a:p>
          <a:r>
            <a:rPr lang="fr-FR" sz="1100"/>
            <a:t>((compor* QTr)- (compop*QTr))mup</a:t>
          </a:r>
        </a:p>
        <a:p>
          <a:r>
            <a:rPr lang="fr-FR" sz="1100"/>
            <a:t>on fait la différence entre les quantités de produits réel  et les quantités de produit que l'on aurait eu si on avait eu la</a:t>
          </a:r>
          <a:r>
            <a:rPr lang="fr-FR" sz="1100" baseline="0"/>
            <a:t> composition préétablie</a:t>
          </a:r>
        </a:p>
        <a:p>
          <a:endParaRPr lang="fr-FR" sz="1100" baseline="0"/>
        </a:p>
        <a:p>
          <a:pPr marL="0" indent="0"/>
          <a:r>
            <a:rPr lang="fr-FR" sz="1100" spc="300" baseline="0">
              <a:solidFill>
                <a:schemeClr val="dk1"/>
              </a:solidFill>
              <a:latin typeface="+mn-lt"/>
              <a:ea typeface="+mn-ea"/>
              <a:cs typeface="+mn-cs"/>
            </a:rPr>
            <a:t>écart de vol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(QTr - QTp) compop *mup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ou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((compop* QTr)- (compop*QTrp)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)</a:t>
          </a:r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mup</a:t>
          </a:r>
          <a:endParaRPr lang="fr-FR"/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on fait la différence entre les quantités de produit que l'on aurait eu si on avait eu la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composition préétablie et les quantités de produits préétablies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ou </a:t>
          </a:r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(QTr-QTp)*mmpp</a:t>
          </a:r>
        </a:p>
        <a:p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/>
          <a:r>
            <a:rPr lang="fr-FR" sz="1100" spc="300" baseline="0">
              <a:solidFill>
                <a:schemeClr val="dk1"/>
              </a:solidFill>
              <a:latin typeface="+mn-lt"/>
              <a:ea typeface="+mn-ea"/>
              <a:cs typeface="+mn-cs"/>
            </a:rPr>
            <a:t>écart de marge unitaire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(mur-mup)Qr</a:t>
          </a:r>
          <a:endParaRPr lang="fr-FR"/>
        </a:p>
        <a:p>
          <a:endParaRPr lang="fr-F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/>
        </a:p>
      </xdr:txBody>
    </xdr:sp>
    <xdr:clientData/>
  </xdr:twoCellAnchor>
  <xdr:twoCellAnchor>
    <xdr:from>
      <xdr:col>3</xdr:col>
      <xdr:colOff>247650</xdr:colOff>
      <xdr:row>0</xdr:row>
      <xdr:rowOff>142876</xdr:rowOff>
    </xdr:from>
    <xdr:to>
      <xdr:col>9</xdr:col>
      <xdr:colOff>657225</xdr:colOff>
      <xdr:row>3</xdr:row>
      <xdr:rowOff>180976</xdr:rowOff>
    </xdr:to>
    <xdr:sp macro="" textlink="">
      <xdr:nvSpPr>
        <xdr:cNvPr id="5" name="ZoneTexte 4"/>
        <xdr:cNvSpPr txBox="1"/>
      </xdr:nvSpPr>
      <xdr:spPr>
        <a:xfrm>
          <a:off x="2571750" y="142876"/>
          <a:ext cx="4981575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2000" b="1" spc="300" baseline="0"/>
            <a:t>Contrôle Budgétaire de la marge</a:t>
          </a:r>
        </a:p>
      </xdr:txBody>
    </xdr:sp>
    <xdr:clientData/>
  </xdr:twoCellAnchor>
  <xdr:twoCellAnchor>
    <xdr:from>
      <xdr:col>10</xdr:col>
      <xdr:colOff>390525</xdr:colOff>
      <xdr:row>38</xdr:row>
      <xdr:rowOff>38100</xdr:rowOff>
    </xdr:from>
    <xdr:to>
      <xdr:col>14</xdr:col>
      <xdr:colOff>533400</xdr:colOff>
      <xdr:row>44</xdr:row>
      <xdr:rowOff>38100</xdr:rowOff>
    </xdr:to>
    <xdr:sp macro="" textlink="">
      <xdr:nvSpPr>
        <xdr:cNvPr id="6" name="ZoneTexte 5"/>
        <xdr:cNvSpPr txBox="1"/>
      </xdr:nvSpPr>
      <xdr:spPr>
        <a:xfrm>
          <a:off x="8048625" y="7343775"/>
          <a:ext cx="3190875" cy="1143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/>
            <a:t>mmpp</a:t>
          </a:r>
          <a:r>
            <a:rPr lang="fr-FR" sz="1100" baseline="0"/>
            <a:t> : marge moyenne préétablie pondérée</a:t>
          </a:r>
        </a:p>
        <a:p>
          <a:r>
            <a:rPr lang="fr-FR" sz="1100" baseline="0"/>
            <a:t>= ((0,15*1200)+(0,3*800))/2000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7"/>
  <sheetViews>
    <sheetView topLeftCell="D1" workbookViewId="0">
      <selection activeCell="O27" sqref="O27"/>
    </sheetView>
  </sheetViews>
  <sheetFormatPr baseColWidth="10" defaultRowHeight="15"/>
  <sheetData>
    <row r="7" spans="1:14">
      <c r="A7" s="2"/>
      <c r="B7" s="34" t="s">
        <v>175</v>
      </c>
      <c r="C7" s="35"/>
      <c r="D7" s="35"/>
      <c r="E7" s="35"/>
      <c r="F7" s="35"/>
      <c r="G7" s="36"/>
      <c r="I7" s="67" t="s">
        <v>9</v>
      </c>
    </row>
    <row r="8" spans="1:14">
      <c r="A8" s="2"/>
      <c r="B8" s="61" t="s">
        <v>19</v>
      </c>
      <c r="C8" s="61" t="s">
        <v>20</v>
      </c>
      <c r="D8" s="61" t="s">
        <v>21</v>
      </c>
      <c r="E8" s="61" t="s">
        <v>22</v>
      </c>
      <c r="F8" s="61" t="s">
        <v>23</v>
      </c>
      <c r="G8" s="61" t="s">
        <v>8</v>
      </c>
      <c r="I8" s="67"/>
    </row>
    <row r="9" spans="1:14">
      <c r="A9" s="30" t="s">
        <v>0</v>
      </c>
      <c r="B9" s="2">
        <v>900</v>
      </c>
      <c r="C9" s="2">
        <v>245</v>
      </c>
      <c r="D9" s="2">
        <v>210</v>
      </c>
      <c r="E9" s="2">
        <f>C9-D9</f>
        <v>35</v>
      </c>
      <c r="F9" s="2">
        <f>B9/B12</f>
        <v>0.46153846153846156</v>
      </c>
      <c r="G9" s="2">
        <f>B9*E9</f>
        <v>31500</v>
      </c>
      <c r="I9" s="67">
        <f>G25-G17</f>
        <v>-9500</v>
      </c>
    </row>
    <row r="10" spans="1:14">
      <c r="A10" s="30" t="s">
        <v>1</v>
      </c>
      <c r="B10" s="2">
        <v>570</v>
      </c>
      <c r="C10" s="2">
        <v>820</v>
      </c>
      <c r="D10" s="2">
        <v>740</v>
      </c>
      <c r="E10" s="2">
        <f>C10-D10</f>
        <v>80</v>
      </c>
      <c r="F10" s="2">
        <f>B10/B12</f>
        <v>0.29230769230769232</v>
      </c>
      <c r="G10" s="2">
        <f>B10*E10</f>
        <v>45600</v>
      </c>
      <c r="I10" s="67">
        <f>G26-G18</f>
        <v>-8000</v>
      </c>
    </row>
    <row r="11" spans="1:14">
      <c r="A11" s="30" t="s">
        <v>2</v>
      </c>
      <c r="B11" s="2">
        <v>480</v>
      </c>
      <c r="C11" s="2">
        <v>80</v>
      </c>
      <c r="D11" s="2">
        <v>60</v>
      </c>
      <c r="E11" s="2">
        <f>C11-D11</f>
        <v>20</v>
      </c>
      <c r="F11" s="2">
        <f>B11/B12</f>
        <v>0.24615384615384617</v>
      </c>
      <c r="G11" s="2">
        <f>B11*E11</f>
        <v>9600</v>
      </c>
      <c r="I11" s="67">
        <f>G27-G19</f>
        <v>2400</v>
      </c>
    </row>
    <row r="12" spans="1:14">
      <c r="A12" s="2"/>
      <c r="B12" s="2">
        <f>SUM(B9:B11)</f>
        <v>1950</v>
      </c>
      <c r="C12" s="2"/>
      <c r="D12" s="2"/>
      <c r="E12" s="2"/>
      <c r="F12" s="2"/>
      <c r="G12" s="2">
        <f>SUM(G9:G11)</f>
        <v>86700</v>
      </c>
      <c r="I12" s="67">
        <f>SUM(I9:I11)</f>
        <v>-15100</v>
      </c>
      <c r="J12">
        <f>G28-G20</f>
        <v>-15100</v>
      </c>
    </row>
    <row r="15" spans="1:14">
      <c r="A15" s="2"/>
      <c r="B15" s="40" t="s">
        <v>176</v>
      </c>
      <c r="C15" s="41"/>
      <c r="D15" s="41"/>
      <c r="E15" s="41"/>
      <c r="F15" s="41"/>
      <c r="G15" s="42"/>
    </row>
    <row r="16" spans="1:14">
      <c r="A16" s="2"/>
      <c r="B16" s="62" t="s">
        <v>24</v>
      </c>
      <c r="C16" s="62" t="s">
        <v>25</v>
      </c>
      <c r="D16" s="62" t="s">
        <v>26</v>
      </c>
      <c r="E16" s="62" t="s">
        <v>27</v>
      </c>
      <c r="F16" s="62" t="s">
        <v>28</v>
      </c>
      <c r="G16" s="62" t="s">
        <v>8</v>
      </c>
      <c r="J16" s="4" t="s">
        <v>10</v>
      </c>
      <c r="L16" s="4" t="s">
        <v>11</v>
      </c>
      <c r="N16" s="4" t="s">
        <v>12</v>
      </c>
    </row>
    <row r="17" spans="1:16">
      <c r="A17" s="30" t="s">
        <v>0</v>
      </c>
      <c r="B17" s="2">
        <v>1000</v>
      </c>
      <c r="C17" s="2">
        <v>250</v>
      </c>
      <c r="D17" s="2">
        <v>200</v>
      </c>
      <c r="E17" s="2">
        <f>C17-D17</f>
        <v>50</v>
      </c>
      <c r="F17" s="2">
        <f>B17/B20</f>
        <v>0.52631578947368418</v>
      </c>
      <c r="G17" s="2">
        <f>B17*E17</f>
        <v>50000</v>
      </c>
      <c r="J17">
        <f>(F25-F17)*B28*E17</f>
        <v>-6315.7894736842054</v>
      </c>
      <c r="L17">
        <f>(E25-E17)*B25</f>
        <v>-4500</v>
      </c>
      <c r="N17">
        <f>(B28-B20)*E17*F17</f>
        <v>1315.7894736842104</v>
      </c>
    </row>
    <row r="18" spans="1:16">
      <c r="A18" s="30" t="s">
        <v>1</v>
      </c>
      <c r="B18" s="2">
        <v>500</v>
      </c>
      <c r="C18" s="2">
        <v>850</v>
      </c>
      <c r="D18" s="2">
        <v>720</v>
      </c>
      <c r="E18" s="2">
        <f>C18-D18</f>
        <v>130</v>
      </c>
      <c r="F18" s="2">
        <f>B18/B20</f>
        <v>0.26315789473684209</v>
      </c>
      <c r="G18" s="2">
        <f>B18*E18</f>
        <v>65000</v>
      </c>
      <c r="J18">
        <f>(F26-F18)*B28*E18</f>
        <v>7389.473684210534</v>
      </c>
      <c r="L18">
        <f>(E26-E18)*B26</f>
        <v>-17100</v>
      </c>
      <c r="N18">
        <f>(B28-B20)*E18*F18</f>
        <v>1710.5263157894735</v>
      </c>
    </row>
    <row r="19" spans="1:16">
      <c r="A19" s="30" t="s">
        <v>2</v>
      </c>
      <c r="B19" s="2">
        <v>400</v>
      </c>
      <c r="C19" s="2">
        <v>80</v>
      </c>
      <c r="D19" s="2">
        <v>50</v>
      </c>
      <c r="E19" s="2">
        <f>C19-D19</f>
        <v>30</v>
      </c>
      <c r="F19" s="2">
        <f>B19/B20</f>
        <v>0.21052631578947367</v>
      </c>
      <c r="G19" s="2">
        <f>B19*E19</f>
        <v>12000</v>
      </c>
      <c r="J19">
        <f>(F27-F19)*B28*E19</f>
        <v>2084.210526315791</v>
      </c>
      <c r="L19">
        <f>(E27-E19)*B27</f>
        <v>0</v>
      </c>
      <c r="N19">
        <f>(B28-B20)*E19*F19</f>
        <v>315.78947368421052</v>
      </c>
    </row>
    <row r="20" spans="1:16">
      <c r="A20" s="2"/>
      <c r="B20" s="2">
        <f>SUM(B17:B19)</f>
        <v>1900</v>
      </c>
      <c r="C20" s="2"/>
      <c r="D20" s="2"/>
      <c r="E20" s="2"/>
      <c r="F20" s="2"/>
      <c r="G20" s="2">
        <f>SUM(G17:G19)</f>
        <v>127000</v>
      </c>
      <c r="J20" s="76">
        <f>SUM(J17:J19)</f>
        <v>3157.8947368421195</v>
      </c>
      <c r="L20">
        <f>SUM(L17:L19)</f>
        <v>-21600</v>
      </c>
      <c r="N20" s="1">
        <f>SUM(N17:N19)</f>
        <v>3342.1052631578946</v>
      </c>
    </row>
    <row r="22" spans="1:16">
      <c r="I22" t="s">
        <v>71</v>
      </c>
      <c r="J22">
        <f>J20+L20+N20</f>
        <v>-15099.999999999984</v>
      </c>
    </row>
    <row r="23" spans="1:16">
      <c r="A23" s="2"/>
      <c r="B23" s="75" t="s">
        <v>177</v>
      </c>
      <c r="C23" s="75"/>
      <c r="D23" s="75"/>
      <c r="E23" s="75"/>
      <c r="F23" s="75"/>
      <c r="G23" s="75"/>
      <c r="N23" s="4" t="s">
        <v>178</v>
      </c>
      <c r="O23" t="s">
        <v>165</v>
      </c>
      <c r="P23">
        <f>(E17*B17+E18*B18+E19*B19)/B20</f>
        <v>66.84210526315789</v>
      </c>
    </row>
    <row r="24" spans="1:16">
      <c r="A24" s="2"/>
      <c r="B24" s="2" t="s">
        <v>19</v>
      </c>
      <c r="C24" s="2" t="s">
        <v>20</v>
      </c>
      <c r="D24" s="2" t="s">
        <v>26</v>
      </c>
      <c r="E24" s="2" t="s">
        <v>29</v>
      </c>
      <c r="F24" s="2" t="s">
        <v>23</v>
      </c>
      <c r="G24" s="2" t="s">
        <v>8</v>
      </c>
      <c r="O24" s="1">
        <f>(B28-B20)*P23</f>
        <v>3342.1052631578946</v>
      </c>
    </row>
    <row r="25" spans="1:16">
      <c r="A25" s="30" t="s">
        <v>0</v>
      </c>
      <c r="B25" s="2">
        <v>900</v>
      </c>
      <c r="C25" s="2">
        <v>245</v>
      </c>
      <c r="D25" s="2">
        <v>200</v>
      </c>
      <c r="E25" s="2">
        <f>C25-D25</f>
        <v>45</v>
      </c>
      <c r="F25" s="2">
        <f>B25/B28</f>
        <v>0.46153846153846156</v>
      </c>
      <c r="G25" s="2">
        <f>B25*E25</f>
        <v>40500</v>
      </c>
    </row>
    <row r="26" spans="1:16">
      <c r="A26" s="30" t="s">
        <v>1</v>
      </c>
      <c r="B26" s="2">
        <v>570</v>
      </c>
      <c r="C26" s="2">
        <v>820</v>
      </c>
      <c r="D26" s="2">
        <v>720</v>
      </c>
      <c r="E26" s="2">
        <f>C26-D26</f>
        <v>100</v>
      </c>
      <c r="F26" s="2">
        <f>B26/B28</f>
        <v>0.29230769230769232</v>
      </c>
      <c r="G26" s="2">
        <f>B26*E26</f>
        <v>57000</v>
      </c>
      <c r="J26" s="4" t="s">
        <v>178</v>
      </c>
    </row>
    <row r="27" spans="1:16">
      <c r="A27" s="30" t="s">
        <v>2</v>
      </c>
      <c r="B27" s="2">
        <v>480</v>
      </c>
      <c r="C27" s="2">
        <v>80</v>
      </c>
      <c r="D27" s="2">
        <v>50</v>
      </c>
      <c r="E27" s="2">
        <f>C27-D27</f>
        <v>30</v>
      </c>
      <c r="F27" s="2">
        <f>B27/B28</f>
        <v>0.24615384615384617</v>
      </c>
      <c r="G27" s="2">
        <f>B27*E27</f>
        <v>14400</v>
      </c>
      <c r="N27" s="4" t="s">
        <v>178</v>
      </c>
    </row>
    <row r="28" spans="1:16">
      <c r="A28" s="2"/>
      <c r="B28" s="2">
        <f>SUM(B25:B27)</f>
        <v>1950</v>
      </c>
      <c r="C28" s="2"/>
      <c r="D28" s="2"/>
      <c r="E28" s="2"/>
      <c r="F28" s="2"/>
      <c r="G28" s="2">
        <f>SUM(G25:G27)</f>
        <v>111900</v>
      </c>
      <c r="J28" t="s">
        <v>181</v>
      </c>
    </row>
    <row r="29" spans="1:16">
      <c r="I29" s="73" t="s">
        <v>0</v>
      </c>
      <c r="J29" s="11">
        <v>900</v>
      </c>
      <c r="N29" t="s">
        <v>182</v>
      </c>
      <c r="P29" s="11" t="s">
        <v>180</v>
      </c>
    </row>
    <row r="30" spans="1:16">
      <c r="I30" s="73" t="s">
        <v>1</v>
      </c>
      <c r="J30" s="11">
        <v>570</v>
      </c>
      <c r="M30" s="73" t="s">
        <v>0</v>
      </c>
      <c r="N30">
        <f>B28*F17</f>
        <v>1026.3157894736842</v>
      </c>
      <c r="P30" s="11">
        <v>1000</v>
      </c>
    </row>
    <row r="31" spans="1:16">
      <c r="I31" s="73" t="s">
        <v>2</v>
      </c>
      <c r="J31" s="11">
        <v>480</v>
      </c>
      <c r="M31" s="73" t="s">
        <v>1</v>
      </c>
      <c r="N31">
        <f>B28*F18</f>
        <v>513.15789473684208</v>
      </c>
      <c r="P31" s="11">
        <v>500</v>
      </c>
    </row>
    <row r="32" spans="1:16">
      <c r="M32" s="73" t="s">
        <v>2</v>
      </c>
      <c r="N32">
        <f>B28*F19</f>
        <v>410.52631578947364</v>
      </c>
      <c r="P32" s="11">
        <v>400</v>
      </c>
    </row>
    <row r="33" spans="11:15">
      <c r="K33">
        <f>(J29-N30)*E17</f>
        <v>-6315.7894736842081</v>
      </c>
    </row>
    <row r="34" spans="11:15">
      <c r="K34">
        <f>(J30-N31)*E18</f>
        <v>7389.4736842105294</v>
      </c>
      <c r="O34">
        <f>(N30-P30)*E17</f>
        <v>1315.7894736842081</v>
      </c>
    </row>
    <row r="35" spans="11:15">
      <c r="K35">
        <f>(J31-N32)*E19</f>
        <v>2084.210526315791</v>
      </c>
      <c r="O35">
        <f>(N31-P31)*E18</f>
        <v>1710.5263157894706</v>
      </c>
    </row>
    <row r="36" spans="11:15">
      <c r="K36" s="76">
        <f>SUM(K33:K35)</f>
        <v>3157.8947368421123</v>
      </c>
      <c r="O36">
        <f>(N32-P32)*E19</f>
        <v>315.78947368420927</v>
      </c>
    </row>
    <row r="37" spans="11:15">
      <c r="O37" s="1">
        <f>SUM(O34:O36)</f>
        <v>3342.1052631578877</v>
      </c>
    </row>
  </sheetData>
  <mergeCells count="3">
    <mergeCell ref="B7:G7"/>
    <mergeCell ref="B15:G15"/>
    <mergeCell ref="B23:G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6"/>
  <sheetViews>
    <sheetView topLeftCell="B1" workbookViewId="0">
      <selection activeCell="A50" sqref="A50:XFD51"/>
    </sheetView>
  </sheetViews>
  <sheetFormatPr baseColWidth="10" defaultRowHeight="15"/>
  <cols>
    <col min="8" max="8" width="12.7109375" customWidth="1"/>
    <col min="9" max="9" width="14.85546875" customWidth="1"/>
    <col min="10" max="10" width="16.42578125" customWidth="1"/>
    <col min="13" max="15" width="11.42578125" style="59"/>
  </cols>
  <sheetData>
    <row r="1" spans="1:12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23.25">
      <c r="A5" s="87" t="s">
        <v>13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2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>
      <c r="A7" s="2"/>
      <c r="B7" s="51" t="s">
        <v>175</v>
      </c>
      <c r="C7" s="51"/>
      <c r="D7" s="51"/>
      <c r="E7" s="51"/>
      <c r="F7" s="51"/>
      <c r="G7" s="51"/>
      <c r="H7" s="59"/>
      <c r="I7" s="59"/>
      <c r="J7" s="59"/>
      <c r="K7" s="59"/>
      <c r="L7" s="59"/>
    </row>
    <row r="8" spans="1:12" ht="15.75" thickBot="1">
      <c r="A8" s="2"/>
      <c r="B8" s="80" t="s">
        <v>3</v>
      </c>
      <c r="C8" s="80" t="s">
        <v>4</v>
      </c>
      <c r="D8" s="80" t="s">
        <v>15</v>
      </c>
      <c r="E8" s="80" t="s">
        <v>6</v>
      </c>
      <c r="F8" s="80" t="s">
        <v>7</v>
      </c>
      <c r="G8" s="80" t="s">
        <v>16</v>
      </c>
      <c r="H8" s="59"/>
      <c r="I8" s="59"/>
      <c r="J8" s="59"/>
      <c r="K8" s="59"/>
      <c r="L8" s="59"/>
    </row>
    <row r="9" spans="1:12">
      <c r="A9" s="30" t="s">
        <v>15</v>
      </c>
      <c r="B9" s="45">
        <v>6750</v>
      </c>
      <c r="C9" s="45">
        <v>230</v>
      </c>
      <c r="D9" s="45">
        <v>90</v>
      </c>
      <c r="E9" s="45">
        <f>C9-D9</f>
        <v>140</v>
      </c>
      <c r="F9" s="45">
        <f>B9/B12</f>
        <v>0.45</v>
      </c>
      <c r="G9" s="45">
        <f>E9*B9</f>
        <v>945000</v>
      </c>
      <c r="H9" s="59"/>
      <c r="I9" s="59"/>
      <c r="J9" s="59"/>
      <c r="K9" s="59"/>
      <c r="L9" s="59"/>
    </row>
    <row r="10" spans="1:12">
      <c r="A10" s="30" t="s">
        <v>17</v>
      </c>
      <c r="B10" s="2">
        <v>4500</v>
      </c>
      <c r="C10" s="2">
        <v>480</v>
      </c>
      <c r="D10" s="2">
        <v>290</v>
      </c>
      <c r="E10" s="2">
        <f>C10-D10</f>
        <v>190</v>
      </c>
      <c r="F10" s="2">
        <f>B10/B12</f>
        <v>0.3</v>
      </c>
      <c r="G10" s="2">
        <f>E10*B10</f>
        <v>855000</v>
      </c>
      <c r="H10" s="59"/>
      <c r="I10" s="59"/>
      <c r="J10" s="59"/>
      <c r="K10" s="59"/>
      <c r="L10" s="59"/>
    </row>
    <row r="11" spans="1:12">
      <c r="A11" s="30" t="s">
        <v>15</v>
      </c>
      <c r="B11" s="2">
        <v>3750</v>
      </c>
      <c r="C11" s="2">
        <v>810</v>
      </c>
      <c r="D11" s="2">
        <v>600</v>
      </c>
      <c r="E11" s="2">
        <f>C11-D11</f>
        <v>210</v>
      </c>
      <c r="F11" s="2">
        <f>B11/B12</f>
        <v>0.25</v>
      </c>
      <c r="G11" s="2">
        <f>E11*B11</f>
        <v>787500</v>
      </c>
      <c r="H11" s="59"/>
      <c r="I11" s="59"/>
      <c r="J11" s="59"/>
      <c r="K11" s="59"/>
      <c r="L11" s="59"/>
    </row>
    <row r="12" spans="1:12">
      <c r="A12" s="2"/>
      <c r="B12" s="2">
        <f>SUM(B9:B11)</f>
        <v>15000</v>
      </c>
      <c r="C12" s="2"/>
      <c r="D12" s="2"/>
      <c r="E12" s="2"/>
      <c r="F12" s="2"/>
      <c r="G12" s="2">
        <f>SUM(G9:G11)</f>
        <v>2587500</v>
      </c>
      <c r="H12" s="59"/>
      <c r="I12" s="59"/>
      <c r="J12" s="59"/>
      <c r="K12" s="59"/>
      <c r="L12" s="59"/>
    </row>
    <row r="13" spans="1:1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>
      <c r="A14" s="59"/>
      <c r="B14" s="59"/>
      <c r="C14" s="59"/>
      <c r="D14" s="59"/>
      <c r="E14" s="59"/>
      <c r="F14" s="59"/>
      <c r="G14" s="59"/>
      <c r="H14" s="59"/>
      <c r="J14" s="59"/>
      <c r="K14" s="59"/>
      <c r="L14" s="59"/>
    </row>
    <row r="15" spans="1:12">
      <c r="A15" s="2"/>
      <c r="B15" s="69" t="s">
        <v>176</v>
      </c>
      <c r="C15" s="70"/>
      <c r="D15" s="70"/>
      <c r="E15" s="70"/>
      <c r="F15" s="70"/>
      <c r="G15" s="71"/>
      <c r="I15" s="67" t="s">
        <v>18</v>
      </c>
      <c r="J15" s="59"/>
      <c r="K15" s="59"/>
      <c r="L15" s="59"/>
    </row>
    <row r="16" spans="1:12" ht="15.75" thickBot="1">
      <c r="A16" s="2"/>
      <c r="B16" s="81" t="s">
        <v>3</v>
      </c>
      <c r="C16" s="81" t="s">
        <v>4</v>
      </c>
      <c r="D16" s="81" t="s">
        <v>15</v>
      </c>
      <c r="E16" s="81" t="s">
        <v>6</v>
      </c>
      <c r="F16" s="81" t="s">
        <v>7</v>
      </c>
      <c r="G16" s="81" t="s">
        <v>16</v>
      </c>
      <c r="H16" s="59"/>
      <c r="I16" s="67"/>
      <c r="J16" s="59"/>
      <c r="K16" s="59"/>
      <c r="L16" s="59"/>
    </row>
    <row r="17" spans="1:12">
      <c r="A17" s="30" t="s">
        <v>15</v>
      </c>
      <c r="B17" s="45">
        <v>8100</v>
      </c>
      <c r="C17" s="45">
        <v>230</v>
      </c>
      <c r="D17" s="45">
        <v>100</v>
      </c>
      <c r="E17" s="45">
        <f>C17-D17</f>
        <v>130</v>
      </c>
      <c r="F17" s="45">
        <f>B17/B20</f>
        <v>0.6</v>
      </c>
      <c r="G17" s="45">
        <f>E17*B17</f>
        <v>1053000</v>
      </c>
      <c r="H17" s="59"/>
      <c r="I17" s="67">
        <f>G9-G17</f>
        <v>-108000</v>
      </c>
      <c r="J17" s="59"/>
      <c r="K17" s="59"/>
      <c r="L17" s="59"/>
    </row>
    <row r="18" spans="1:12">
      <c r="A18" s="30" t="s">
        <v>17</v>
      </c>
      <c r="B18" s="2">
        <v>3375</v>
      </c>
      <c r="C18" s="2">
        <v>490</v>
      </c>
      <c r="D18" s="2">
        <v>300</v>
      </c>
      <c r="E18" s="2">
        <f>C18-D18</f>
        <v>190</v>
      </c>
      <c r="F18" s="2">
        <f>B18/B20</f>
        <v>0.25</v>
      </c>
      <c r="G18" s="2">
        <f>E18*B18</f>
        <v>641250</v>
      </c>
      <c r="H18" s="59"/>
      <c r="I18" s="67">
        <f>G10-G18</f>
        <v>213750</v>
      </c>
      <c r="J18" s="59"/>
      <c r="K18" s="59"/>
      <c r="L18" s="59"/>
    </row>
    <row r="19" spans="1:12">
      <c r="A19" s="30" t="s">
        <v>15</v>
      </c>
      <c r="B19" s="2">
        <v>2025</v>
      </c>
      <c r="C19" s="2">
        <v>850</v>
      </c>
      <c r="D19" s="2">
        <v>700</v>
      </c>
      <c r="E19" s="2">
        <f>C19-D19</f>
        <v>150</v>
      </c>
      <c r="F19" s="2">
        <f>B19/B20</f>
        <v>0.15</v>
      </c>
      <c r="G19" s="2">
        <f>E19*B19</f>
        <v>303750</v>
      </c>
      <c r="H19" s="59"/>
      <c r="I19" s="67">
        <f>G11-G19</f>
        <v>483750</v>
      </c>
      <c r="J19" s="59"/>
      <c r="K19" s="59"/>
      <c r="L19" s="59"/>
    </row>
    <row r="20" spans="1:12">
      <c r="A20" s="2"/>
      <c r="B20" s="2">
        <f>SUM(B17:B19)</f>
        <v>13500</v>
      </c>
      <c r="C20" s="2"/>
      <c r="D20" s="2"/>
      <c r="E20" s="2"/>
      <c r="F20" s="2"/>
      <c r="G20" s="2">
        <f>SUM(G17:G19)</f>
        <v>1998000</v>
      </c>
      <c r="H20" s="59"/>
      <c r="I20" s="67">
        <f>G12-G20</f>
        <v>589500</v>
      </c>
      <c r="J20" s="59"/>
      <c r="K20" s="59"/>
      <c r="L20" s="59"/>
    </row>
    <row r="21" spans="1:1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spans="1:12">
      <c r="A22" s="2"/>
      <c r="B22" s="37" t="s">
        <v>177</v>
      </c>
      <c r="C22" s="38"/>
      <c r="D22" s="38"/>
      <c r="E22" s="38"/>
      <c r="F22" s="38"/>
      <c r="G22" s="39"/>
      <c r="H22" s="59"/>
      <c r="I22" s="67" t="s">
        <v>9</v>
      </c>
      <c r="J22" s="59"/>
      <c r="K22" s="59"/>
      <c r="L22" s="59"/>
    </row>
    <row r="23" spans="1:12" ht="15.75" thickBot="1">
      <c r="A23" s="2"/>
      <c r="B23" s="82" t="s">
        <v>3</v>
      </c>
      <c r="C23" s="82" t="s">
        <v>4</v>
      </c>
      <c r="D23" s="82" t="s">
        <v>15</v>
      </c>
      <c r="E23" s="82" t="s">
        <v>6</v>
      </c>
      <c r="F23" s="82" t="s">
        <v>7</v>
      </c>
      <c r="G23" s="82" t="s">
        <v>16</v>
      </c>
      <c r="H23" s="59"/>
      <c r="I23" s="67"/>
      <c r="J23" s="59"/>
      <c r="K23" s="59"/>
      <c r="L23" s="59"/>
    </row>
    <row r="24" spans="1:12">
      <c r="A24" s="30" t="s">
        <v>15</v>
      </c>
      <c r="B24" s="45">
        <v>6750</v>
      </c>
      <c r="C24" s="45">
        <v>230</v>
      </c>
      <c r="D24" s="45">
        <v>100</v>
      </c>
      <c r="E24" s="45">
        <f>C24-D24</f>
        <v>130</v>
      </c>
      <c r="F24" s="45">
        <f>B24/B27</f>
        <v>0.45</v>
      </c>
      <c r="G24" s="45">
        <f>E24*B24</f>
        <v>877500</v>
      </c>
      <c r="H24" s="59"/>
      <c r="I24" s="67">
        <f>G24-G17</f>
        <v>-175500</v>
      </c>
      <c r="J24" s="59"/>
      <c r="K24" s="59"/>
      <c r="L24" s="59"/>
    </row>
    <row r="25" spans="1:12">
      <c r="A25" s="30" t="s">
        <v>17</v>
      </c>
      <c r="B25" s="2">
        <v>4500</v>
      </c>
      <c r="C25" s="2">
        <v>480</v>
      </c>
      <c r="D25" s="2">
        <v>300</v>
      </c>
      <c r="E25" s="2">
        <f>C25-D25</f>
        <v>180</v>
      </c>
      <c r="F25" s="2">
        <f>B25/B27</f>
        <v>0.3</v>
      </c>
      <c r="G25" s="2">
        <f>E25*B25</f>
        <v>810000</v>
      </c>
      <c r="H25" s="59"/>
      <c r="I25" s="67">
        <f>G25-G18</f>
        <v>168750</v>
      </c>
      <c r="J25" s="59"/>
      <c r="K25" s="59"/>
      <c r="L25" s="59"/>
    </row>
    <row r="26" spans="1:12">
      <c r="A26" s="30" t="s">
        <v>15</v>
      </c>
      <c r="B26" s="2">
        <v>3750</v>
      </c>
      <c r="C26" s="2">
        <v>810</v>
      </c>
      <c r="D26" s="2">
        <v>700</v>
      </c>
      <c r="E26" s="2">
        <f>C26-D26</f>
        <v>110</v>
      </c>
      <c r="F26" s="2">
        <f>B26/B27</f>
        <v>0.25</v>
      </c>
      <c r="G26" s="2">
        <f>E26*B26</f>
        <v>412500</v>
      </c>
      <c r="H26" s="59"/>
      <c r="I26" s="67">
        <f>G26-G19</f>
        <v>108750</v>
      </c>
      <c r="J26" s="59"/>
      <c r="K26" s="59"/>
      <c r="L26" s="59"/>
    </row>
    <row r="27" spans="1:12">
      <c r="A27" s="2"/>
      <c r="B27" s="2">
        <f>SUM(B24:B26)</f>
        <v>15000</v>
      </c>
      <c r="C27" s="2"/>
      <c r="D27" s="2"/>
      <c r="E27" s="2"/>
      <c r="F27" s="2"/>
      <c r="G27" s="2">
        <f>SUM(G24:G26)</f>
        <v>2100000</v>
      </c>
      <c r="H27" s="59"/>
      <c r="I27" s="72">
        <f>G27-G20</f>
        <v>102000</v>
      </c>
      <c r="J27" s="59"/>
      <c r="K27" s="59"/>
      <c r="L27" s="59"/>
    </row>
    <row r="28" spans="1:1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1:12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2" ht="17.25">
      <c r="A30" s="84" t="s">
        <v>171</v>
      </c>
      <c r="B30" s="84"/>
      <c r="C30" s="84"/>
      <c r="D30" s="84"/>
      <c r="E30" s="59"/>
      <c r="F30" s="59"/>
      <c r="G30" s="59"/>
      <c r="H30" s="59"/>
      <c r="I30" s="59"/>
      <c r="J30" s="59" t="s">
        <v>165</v>
      </c>
      <c r="K30" s="59">
        <f>(E17*B17+E18*B18+E19*B19)/B20</f>
        <v>148</v>
      </c>
      <c r="L30" s="59"/>
    </row>
    <row r="31" spans="1:12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2">
      <c r="B32" s="30" t="s">
        <v>10</v>
      </c>
      <c r="C32" s="2"/>
      <c r="D32" s="85">
        <f>C33+C34+C35</f>
        <v>75000.000000000029</v>
      </c>
      <c r="E32" s="59"/>
      <c r="F32" s="30" t="s">
        <v>11</v>
      </c>
      <c r="G32" s="2"/>
      <c r="H32" s="10">
        <f>G33+G34+G35</f>
        <v>-195000</v>
      </c>
      <c r="I32" s="59"/>
      <c r="J32" s="30" t="s">
        <v>12</v>
      </c>
      <c r="K32" s="77"/>
      <c r="L32" s="66">
        <f>K33+K34+K35</f>
        <v>222000</v>
      </c>
    </row>
    <row r="33" spans="1:12">
      <c r="A33" s="59"/>
      <c r="B33" s="30" t="s">
        <v>15</v>
      </c>
      <c r="C33" s="2">
        <f>(F24-F17)*B27*E17</f>
        <v>-292499.99999999994</v>
      </c>
      <c r="D33" s="2"/>
      <c r="E33" s="59"/>
      <c r="F33" s="30" t="s">
        <v>15</v>
      </c>
      <c r="G33" s="2">
        <f>(E24-E17)*B24</f>
        <v>0</v>
      </c>
      <c r="H33" s="2"/>
      <c r="I33" s="59"/>
      <c r="J33" s="30" t="s">
        <v>15</v>
      </c>
      <c r="K33" s="77">
        <f>(B27-B20)*F17*E17</f>
        <v>117000</v>
      </c>
      <c r="L33" s="77"/>
    </row>
    <row r="34" spans="1:12">
      <c r="A34" s="59"/>
      <c r="B34" s="30" t="s">
        <v>17</v>
      </c>
      <c r="C34" s="2">
        <f>(F25-F18)*B27*E18</f>
        <v>142499.99999999997</v>
      </c>
      <c r="D34" s="2"/>
      <c r="E34" s="59"/>
      <c r="F34" s="30" t="s">
        <v>17</v>
      </c>
      <c r="G34" s="2">
        <f>(E25-E18)*B25</f>
        <v>-45000</v>
      </c>
      <c r="H34" s="2"/>
      <c r="I34" s="59"/>
      <c r="J34" s="30" t="s">
        <v>17</v>
      </c>
      <c r="K34" s="77">
        <f>(B27-B20)*F18*E18</f>
        <v>71250</v>
      </c>
      <c r="L34" s="77"/>
    </row>
    <row r="35" spans="1:12">
      <c r="A35" s="59"/>
      <c r="B35" s="30" t="s">
        <v>15</v>
      </c>
      <c r="C35" s="2">
        <f>(F26-F19)*B27*E19</f>
        <v>225000</v>
      </c>
      <c r="D35" s="2"/>
      <c r="E35" s="59"/>
      <c r="F35" s="30" t="s">
        <v>15</v>
      </c>
      <c r="G35" s="2">
        <f>(E26-E19)*B26</f>
        <v>-150000</v>
      </c>
      <c r="H35" s="2"/>
      <c r="I35" s="59"/>
      <c r="J35" s="30" t="s">
        <v>15</v>
      </c>
      <c r="K35" s="77">
        <f>(B27-B20)*F19*E19</f>
        <v>33750</v>
      </c>
      <c r="L35" s="77"/>
    </row>
    <row r="36" spans="1:1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</row>
    <row r="37" spans="1:12">
      <c r="A37" s="86" t="s">
        <v>71</v>
      </c>
      <c r="B37" s="74">
        <f>D32+H32+L32</f>
        <v>102000.00000000003</v>
      </c>
      <c r="C37" s="59"/>
      <c r="D37" s="59"/>
      <c r="E37" s="59"/>
      <c r="F37" s="59"/>
      <c r="G37" s="59"/>
      <c r="H37" s="59"/>
      <c r="I37" s="59"/>
      <c r="J37" s="78" t="s">
        <v>178</v>
      </c>
      <c r="K37" s="59"/>
      <c r="L37" s="76">
        <f>(B27-B20)*K30</f>
        <v>222000</v>
      </c>
    </row>
    <row r="38" spans="1:1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</row>
    <row r="39" spans="1:12">
      <c r="A39" s="59"/>
      <c r="B39" s="79" t="s">
        <v>178</v>
      </c>
      <c r="C39" s="59"/>
      <c r="D39" s="59"/>
      <c r="E39" s="59"/>
      <c r="F39" s="59"/>
      <c r="G39" s="59"/>
      <c r="H39" s="59"/>
      <c r="I39" s="59"/>
      <c r="J39" s="78" t="s">
        <v>178</v>
      </c>
      <c r="K39" s="59"/>
      <c r="L39" s="59"/>
    </row>
    <row r="40" spans="1:12">
      <c r="A40" s="77"/>
      <c r="B40" s="77" t="s">
        <v>181</v>
      </c>
      <c r="C40" s="59"/>
      <c r="D40" s="59"/>
      <c r="E40" s="59"/>
      <c r="F40" s="59"/>
      <c r="G40" s="59"/>
      <c r="H40" s="59"/>
      <c r="I40" s="59"/>
      <c r="J40" s="78"/>
      <c r="K40" s="59"/>
      <c r="L40" s="59"/>
    </row>
    <row r="41" spans="1:12">
      <c r="A41" s="83" t="s">
        <v>15</v>
      </c>
      <c r="B41" s="77">
        <v>6750</v>
      </c>
      <c r="C41" s="59"/>
      <c r="D41" s="59"/>
      <c r="E41" s="59"/>
      <c r="F41" s="59"/>
      <c r="G41" s="59"/>
      <c r="H41" s="59"/>
      <c r="I41" s="77" t="s">
        <v>183</v>
      </c>
      <c r="J41" s="77" t="s">
        <v>179</v>
      </c>
      <c r="K41" s="59"/>
      <c r="L41" s="77" t="s">
        <v>180</v>
      </c>
    </row>
    <row r="42" spans="1:12">
      <c r="A42" s="83" t="s">
        <v>17</v>
      </c>
      <c r="B42" s="77">
        <v>4500</v>
      </c>
      <c r="C42" s="59"/>
      <c r="D42" s="59"/>
      <c r="E42" s="59"/>
      <c r="F42" s="59"/>
      <c r="G42" s="59"/>
      <c r="H42" s="59"/>
      <c r="I42" s="83" t="s">
        <v>15</v>
      </c>
      <c r="J42" s="77">
        <f>B27*F17</f>
        <v>9000</v>
      </c>
      <c r="K42" s="59"/>
      <c r="L42" s="77">
        <v>8100</v>
      </c>
    </row>
    <row r="43" spans="1:12">
      <c r="A43" s="83" t="s">
        <v>15</v>
      </c>
      <c r="B43" s="77">
        <v>3750</v>
      </c>
      <c r="C43" s="59"/>
      <c r="D43" s="59"/>
      <c r="E43" s="59"/>
      <c r="F43" s="59"/>
      <c r="G43" s="59"/>
      <c r="H43" s="59"/>
      <c r="I43" s="83" t="s">
        <v>17</v>
      </c>
      <c r="J43" s="77">
        <f>B27*F18</f>
        <v>3750</v>
      </c>
      <c r="K43" s="59"/>
      <c r="L43" s="77">
        <v>3375</v>
      </c>
    </row>
    <row r="44" spans="1:12">
      <c r="A44" s="59"/>
      <c r="B44" s="59"/>
      <c r="C44" s="59"/>
      <c r="D44" s="59"/>
      <c r="E44" s="59"/>
      <c r="F44" s="59"/>
      <c r="G44" s="59"/>
      <c r="H44" s="59"/>
      <c r="I44" s="83" t="s">
        <v>15</v>
      </c>
      <c r="J44" s="77">
        <f>B27*F19</f>
        <v>2250</v>
      </c>
      <c r="K44" s="59"/>
      <c r="L44" s="77">
        <v>2025</v>
      </c>
    </row>
    <row r="45" spans="1:12">
      <c r="A45" s="59"/>
      <c r="B45" s="83" t="s">
        <v>15</v>
      </c>
      <c r="C45" s="77">
        <f>(B41-J42)*E17</f>
        <v>-292500</v>
      </c>
      <c r="D45" s="59"/>
      <c r="E45" s="59"/>
      <c r="F45" s="59"/>
      <c r="G45" s="59"/>
      <c r="H45" s="59"/>
      <c r="I45" s="59"/>
      <c r="J45" s="59"/>
      <c r="K45" s="59"/>
      <c r="L45" s="59"/>
    </row>
    <row r="46" spans="1:12">
      <c r="A46" s="59"/>
      <c r="B46" s="83" t="s">
        <v>17</v>
      </c>
      <c r="C46" s="77">
        <f>(B42-J43)*E18</f>
        <v>142500</v>
      </c>
      <c r="D46" s="59"/>
      <c r="E46" s="59"/>
      <c r="F46" s="59"/>
      <c r="G46" s="59"/>
      <c r="H46" s="59"/>
      <c r="I46" s="59"/>
      <c r="J46" s="83" t="s">
        <v>15</v>
      </c>
      <c r="K46" s="77">
        <f>(J42-L42)*E17</f>
        <v>117000</v>
      </c>
      <c r="L46" s="59"/>
    </row>
    <row r="47" spans="1:12">
      <c r="A47" s="59"/>
      <c r="B47" s="83" t="s">
        <v>15</v>
      </c>
      <c r="C47" s="77">
        <f>(B43-J44)*E19</f>
        <v>225000</v>
      </c>
      <c r="D47" s="59"/>
      <c r="E47" s="59"/>
      <c r="F47" s="59"/>
      <c r="G47" s="59"/>
      <c r="H47" s="59"/>
      <c r="I47" s="59"/>
      <c r="J47" s="83" t="s">
        <v>17</v>
      </c>
      <c r="K47" s="77">
        <f>(J43-L43)*E18</f>
        <v>71250</v>
      </c>
      <c r="L47" s="59"/>
    </row>
    <row r="48" spans="1:12">
      <c r="A48" s="59"/>
      <c r="B48" s="77" t="s">
        <v>8</v>
      </c>
      <c r="C48" s="3">
        <f>SUM(C45:C47)</f>
        <v>75000</v>
      </c>
      <c r="D48" s="59"/>
      <c r="E48" s="59"/>
      <c r="F48" s="59"/>
      <c r="G48" s="59"/>
      <c r="H48" s="59"/>
      <c r="I48" s="59"/>
      <c r="J48" s="83" t="s">
        <v>15</v>
      </c>
      <c r="K48" s="77">
        <f>(J44-L44)*E19</f>
        <v>33750</v>
      </c>
      <c r="L48" s="59"/>
    </row>
    <row r="49" spans="1:12">
      <c r="A49" s="59"/>
      <c r="B49" s="59"/>
      <c r="C49" s="59"/>
      <c r="D49" s="59"/>
      <c r="E49" s="59"/>
      <c r="F49" s="59"/>
      <c r="G49" s="59"/>
      <c r="H49" s="59"/>
      <c r="I49" s="59"/>
      <c r="J49" s="77" t="s">
        <v>8</v>
      </c>
      <c r="K49" s="63">
        <f>SUM(K46:K48)</f>
        <v>222000</v>
      </c>
      <c r="L49" s="59"/>
    </row>
    <row r="50" spans="1:12" s="59" customFormat="1" ht="44.25" customHeight="1"/>
    <row r="51" spans="1:12" s="59" customFormat="1" ht="69" customHeight="1"/>
    <row r="52" spans="1:12" s="59" customFormat="1"/>
    <row r="53" spans="1:12" s="59" customFormat="1"/>
    <row r="54" spans="1:12" s="59" customFormat="1"/>
    <row r="55" spans="1:12" s="59" customFormat="1"/>
    <row r="56" spans="1:12" s="59" customFormat="1"/>
  </sheetData>
  <mergeCells count="4">
    <mergeCell ref="B7:G7"/>
    <mergeCell ref="B15:G15"/>
    <mergeCell ref="B22:G22"/>
    <mergeCell ref="A30:D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N73"/>
  <sheetViews>
    <sheetView topLeftCell="A50" workbookViewId="0">
      <selection activeCell="E55" sqref="E55"/>
    </sheetView>
  </sheetViews>
  <sheetFormatPr baseColWidth="10" defaultRowHeight="15"/>
  <cols>
    <col min="1" max="1" width="24.140625" customWidth="1"/>
    <col min="5" max="5" width="16.42578125" customWidth="1"/>
  </cols>
  <sheetData>
    <row r="7" spans="1:10" ht="21">
      <c r="A7" s="5" t="s">
        <v>51</v>
      </c>
    </row>
    <row r="9" spans="1:10">
      <c r="A9" s="2"/>
      <c r="B9" s="34" t="s">
        <v>172</v>
      </c>
      <c r="C9" s="35"/>
      <c r="D9" s="36"/>
      <c r="F9" s="40" t="s">
        <v>101</v>
      </c>
      <c r="G9" s="41"/>
      <c r="H9" s="42"/>
    </row>
    <row r="10" spans="1:10">
      <c r="A10" s="2"/>
      <c r="B10" s="61" t="s">
        <v>3</v>
      </c>
      <c r="C10" s="61" t="s">
        <v>5</v>
      </c>
      <c r="D10" s="61" t="s">
        <v>39</v>
      </c>
      <c r="F10" s="62" t="s">
        <v>3</v>
      </c>
      <c r="G10" s="62" t="s">
        <v>5</v>
      </c>
      <c r="H10" s="62" t="s">
        <v>39</v>
      </c>
      <c r="J10" s="67" t="s">
        <v>41</v>
      </c>
    </row>
    <row r="11" spans="1:10" ht="15.75">
      <c r="A11" s="58" t="s">
        <v>30</v>
      </c>
      <c r="B11" s="2"/>
      <c r="C11" s="2"/>
      <c r="D11" s="2"/>
      <c r="F11" s="2"/>
      <c r="G11" s="2"/>
      <c r="H11" s="2"/>
      <c r="J11" s="67"/>
    </row>
    <row r="12" spans="1:10">
      <c r="A12" s="30" t="s">
        <v>31</v>
      </c>
      <c r="B12" s="2">
        <v>50</v>
      </c>
      <c r="C12" s="2">
        <v>52</v>
      </c>
      <c r="D12" s="2">
        <f>B12*C12</f>
        <v>2600</v>
      </c>
      <c r="F12" s="3">
        <v>49</v>
      </c>
      <c r="G12" s="2">
        <v>50</v>
      </c>
      <c r="H12" s="2">
        <f>F12*G12</f>
        <v>2450</v>
      </c>
      <c r="J12" s="68">
        <f>D12-H12</f>
        <v>150</v>
      </c>
    </row>
    <row r="13" spans="1:10">
      <c r="A13" s="30" t="s">
        <v>32</v>
      </c>
      <c r="B13" s="2">
        <v>24</v>
      </c>
      <c r="C13" s="2">
        <v>68</v>
      </c>
      <c r="D13" s="2">
        <f t="shared" ref="D13:D19" si="0">B13*C13</f>
        <v>1632</v>
      </c>
      <c r="F13" s="2">
        <v>24.5</v>
      </c>
      <c r="G13" s="2">
        <v>70</v>
      </c>
      <c r="H13" s="2">
        <f t="shared" ref="H13:H19" si="1">F13*G13</f>
        <v>1715</v>
      </c>
      <c r="J13" s="68">
        <f>D13-H13</f>
        <v>-83</v>
      </c>
    </row>
    <row r="14" spans="1:10">
      <c r="A14" s="30" t="s">
        <v>33</v>
      </c>
      <c r="B14" s="2">
        <v>24</v>
      </c>
      <c r="C14" s="2">
        <v>18</v>
      </c>
      <c r="D14" s="2">
        <f t="shared" si="0"/>
        <v>432</v>
      </c>
      <c r="F14" s="2">
        <v>24.5</v>
      </c>
      <c r="G14" s="2">
        <v>17</v>
      </c>
      <c r="H14" s="2">
        <f t="shared" si="1"/>
        <v>416.5</v>
      </c>
      <c r="J14" s="68">
        <f t="shared" ref="J14:J20" si="2">D14-H14</f>
        <v>15.5</v>
      </c>
    </row>
    <row r="15" spans="1:10">
      <c r="A15" s="30" t="s">
        <v>34</v>
      </c>
      <c r="B15" s="2">
        <v>11</v>
      </c>
      <c r="C15" s="2">
        <v>52</v>
      </c>
      <c r="D15" s="2">
        <f t="shared" si="0"/>
        <v>572</v>
      </c>
      <c r="F15" s="2">
        <v>12.25</v>
      </c>
      <c r="G15" s="2">
        <v>50</v>
      </c>
      <c r="H15" s="2">
        <f t="shared" si="1"/>
        <v>612.5</v>
      </c>
      <c r="J15" s="68">
        <f t="shared" si="2"/>
        <v>-40.5</v>
      </c>
    </row>
    <row r="16" spans="1:10" ht="15.75">
      <c r="A16" s="58" t="s">
        <v>35</v>
      </c>
      <c r="B16" s="2"/>
      <c r="C16" s="2"/>
      <c r="D16" s="2">
        <f t="shared" si="0"/>
        <v>0</v>
      </c>
      <c r="F16" s="2"/>
      <c r="G16" s="2"/>
      <c r="H16" s="2">
        <f t="shared" si="1"/>
        <v>0</v>
      </c>
      <c r="J16" s="68">
        <f t="shared" si="2"/>
        <v>0</v>
      </c>
    </row>
    <row r="17" spans="1:10">
      <c r="A17" s="30" t="s">
        <v>36</v>
      </c>
      <c r="B17" s="2">
        <v>260</v>
      </c>
      <c r="C17" s="2">
        <v>0.9</v>
      </c>
      <c r="D17" s="2">
        <f t="shared" si="0"/>
        <v>234</v>
      </c>
      <c r="F17" s="2">
        <v>245</v>
      </c>
      <c r="G17" s="2">
        <v>0.9</v>
      </c>
      <c r="H17" s="2">
        <f t="shared" si="1"/>
        <v>220.5</v>
      </c>
      <c r="J17" s="68">
        <f t="shared" si="2"/>
        <v>13.5</v>
      </c>
    </row>
    <row r="18" spans="1:10">
      <c r="A18" s="30" t="s">
        <v>33</v>
      </c>
      <c r="B18" s="2">
        <v>50</v>
      </c>
      <c r="C18" s="2">
        <v>16</v>
      </c>
      <c r="D18" s="2">
        <f t="shared" si="0"/>
        <v>800</v>
      </c>
      <c r="F18" s="2">
        <v>49</v>
      </c>
      <c r="G18" s="2">
        <v>15</v>
      </c>
      <c r="H18" s="2">
        <f t="shared" si="1"/>
        <v>735</v>
      </c>
      <c r="J18" s="68">
        <f t="shared" si="2"/>
        <v>65</v>
      </c>
    </row>
    <row r="19" spans="1:10">
      <c r="A19" s="30" t="s">
        <v>37</v>
      </c>
      <c r="B19" s="2">
        <v>50</v>
      </c>
      <c r="C19" s="2">
        <v>19</v>
      </c>
      <c r="D19" s="2">
        <f t="shared" si="0"/>
        <v>950</v>
      </c>
      <c r="F19" s="2">
        <v>49</v>
      </c>
      <c r="G19" s="2">
        <v>20</v>
      </c>
      <c r="H19" s="2">
        <f t="shared" si="1"/>
        <v>980</v>
      </c>
      <c r="J19" s="68">
        <f t="shared" si="2"/>
        <v>-30</v>
      </c>
    </row>
    <row r="20" spans="1:10">
      <c r="A20" s="2" t="s">
        <v>38</v>
      </c>
      <c r="B20" s="2">
        <v>245</v>
      </c>
      <c r="C20" s="2">
        <v>19</v>
      </c>
      <c r="D20" s="2">
        <f>SUM(D12:D19)</f>
        <v>7220</v>
      </c>
      <c r="F20" s="2">
        <v>245</v>
      </c>
      <c r="G20" s="2">
        <v>20</v>
      </c>
      <c r="H20" s="2">
        <f>SUM(H12:H19)</f>
        <v>7129.5</v>
      </c>
      <c r="J20" s="68">
        <f t="shared" si="2"/>
        <v>90.5</v>
      </c>
    </row>
    <row r="22" spans="1:10">
      <c r="F22" s="1" t="s">
        <v>40</v>
      </c>
    </row>
    <row r="24" spans="1:10">
      <c r="B24" t="s">
        <v>42</v>
      </c>
    </row>
    <row r="28" spans="1:10" ht="21">
      <c r="A28" s="5" t="s">
        <v>43</v>
      </c>
    </row>
    <row r="29" spans="1:10" ht="21">
      <c r="A29" s="5"/>
    </row>
    <row r="30" spans="1:10">
      <c r="B30" s="51" t="s">
        <v>173</v>
      </c>
      <c r="C30" s="51"/>
      <c r="D30" s="51"/>
      <c r="F30" s="49" t="s">
        <v>174</v>
      </c>
      <c r="G30" s="49"/>
      <c r="H30" s="49"/>
    </row>
    <row r="31" spans="1:10">
      <c r="A31" s="2"/>
      <c r="B31" s="61" t="s">
        <v>19</v>
      </c>
      <c r="C31" s="61" t="s">
        <v>20</v>
      </c>
      <c r="D31" s="61" t="s">
        <v>44</v>
      </c>
      <c r="F31" s="62" t="s">
        <v>24</v>
      </c>
      <c r="G31" s="62" t="s">
        <v>25</v>
      </c>
      <c r="H31" s="62" t="s">
        <v>47</v>
      </c>
      <c r="J31" s="67" t="s">
        <v>9</v>
      </c>
    </row>
    <row r="32" spans="1:10">
      <c r="A32" s="30" t="s">
        <v>45</v>
      </c>
      <c r="B32" s="2">
        <v>1425</v>
      </c>
      <c r="C32" s="2">
        <v>4.9000000000000004</v>
      </c>
      <c r="D32" s="2">
        <f>B32*C32</f>
        <v>6982.5000000000009</v>
      </c>
      <c r="F32" s="2">
        <v>1500</v>
      </c>
      <c r="G32" s="2">
        <v>5</v>
      </c>
      <c r="H32" s="2">
        <f>F32*G32</f>
        <v>7500</v>
      </c>
      <c r="J32" s="67">
        <f>D32-H32</f>
        <v>-517.49999999999909</v>
      </c>
    </row>
    <row r="33" spans="1:12">
      <c r="A33" s="30" t="s">
        <v>46</v>
      </c>
      <c r="B33" s="2">
        <v>29</v>
      </c>
      <c r="C33" s="2">
        <v>16</v>
      </c>
      <c r="D33" s="2">
        <f>B33*C33</f>
        <v>464</v>
      </c>
      <c r="F33" s="3">
        <v>25</v>
      </c>
      <c r="G33" s="2">
        <v>15</v>
      </c>
      <c r="H33" s="2">
        <f>F33*G33</f>
        <v>375</v>
      </c>
      <c r="J33" s="67">
        <f>D33-H33</f>
        <v>89</v>
      </c>
    </row>
    <row r="34" spans="1:12">
      <c r="A34" s="2" t="s">
        <v>8</v>
      </c>
      <c r="B34" s="2"/>
      <c r="C34" s="2"/>
      <c r="D34" s="2">
        <f>SUM(D32:D33)</f>
        <v>7446.5000000000009</v>
      </c>
      <c r="F34" s="2"/>
      <c r="G34" s="2"/>
      <c r="H34" s="2">
        <f>SUM(H32:H33)</f>
        <v>7875</v>
      </c>
      <c r="J34" s="67">
        <f>D34-H34</f>
        <v>-428.49999999999909</v>
      </c>
    </row>
    <row r="36" spans="1:12">
      <c r="F36" s="1" t="s">
        <v>48</v>
      </c>
    </row>
    <row r="37" spans="1:12">
      <c r="F37" s="60"/>
    </row>
    <row r="38" spans="1:12" ht="17.25">
      <c r="A38" s="14" t="s">
        <v>82</v>
      </c>
      <c r="F38" s="60"/>
    </row>
    <row r="40" spans="1:12">
      <c r="A40" s="4" t="s">
        <v>49</v>
      </c>
      <c r="B40">
        <f>(C32-G32)*B32</f>
        <v>-142.49999999999949</v>
      </c>
      <c r="E40" s="4" t="s">
        <v>50</v>
      </c>
      <c r="F40">
        <f>(B32-F32)*G32</f>
        <v>-375</v>
      </c>
    </row>
    <row r="41" spans="1:12">
      <c r="B41">
        <f>(C33-G33)*B33</f>
        <v>29</v>
      </c>
      <c r="F41">
        <f>(B33-F33)*G33</f>
        <v>60</v>
      </c>
    </row>
    <row r="44" spans="1:12" ht="21">
      <c r="A44" s="5" t="s">
        <v>52</v>
      </c>
    </row>
    <row r="46" spans="1:12">
      <c r="B46" s="17"/>
      <c r="C46" s="17" t="s">
        <v>14</v>
      </c>
      <c r="D46" s="17"/>
      <c r="F46" s="18"/>
      <c r="G46" s="18" t="s">
        <v>53</v>
      </c>
      <c r="H46" s="18"/>
      <c r="J46" s="64"/>
      <c r="K46" s="64" t="s">
        <v>57</v>
      </c>
      <c r="L46" s="64"/>
    </row>
    <row r="47" spans="1:12">
      <c r="A47" s="2"/>
      <c r="B47" s="61" t="s">
        <v>19</v>
      </c>
      <c r="C47" s="61" t="s">
        <v>21</v>
      </c>
      <c r="D47" s="61" t="s">
        <v>56</v>
      </c>
      <c r="F47" s="62" t="s">
        <v>19</v>
      </c>
      <c r="G47" s="62" t="s">
        <v>21</v>
      </c>
      <c r="H47" s="62" t="s">
        <v>56</v>
      </c>
      <c r="J47" s="65" t="s">
        <v>19</v>
      </c>
      <c r="K47" s="65" t="s">
        <v>21</v>
      </c>
      <c r="L47" s="65" t="s">
        <v>56</v>
      </c>
    </row>
    <row r="48" spans="1:12">
      <c r="A48" s="2" t="s">
        <v>54</v>
      </c>
      <c r="B48" s="2">
        <v>9000</v>
      </c>
      <c r="C48" s="2">
        <v>12.5</v>
      </c>
      <c r="D48" s="2">
        <f>B48*C48</f>
        <v>112500</v>
      </c>
      <c r="F48" s="2">
        <v>10000</v>
      </c>
      <c r="G48" s="2">
        <v>12</v>
      </c>
      <c r="H48" s="2">
        <f>F48*G48</f>
        <v>120000</v>
      </c>
      <c r="J48" s="3">
        <v>9000</v>
      </c>
      <c r="K48" s="2">
        <v>12</v>
      </c>
      <c r="L48" s="2">
        <f>J48*K48</f>
        <v>108000</v>
      </c>
    </row>
    <row r="49" spans="1:14">
      <c r="A49" s="2" t="s">
        <v>46</v>
      </c>
      <c r="B49" s="2">
        <v>400</v>
      </c>
      <c r="C49" s="2">
        <v>12</v>
      </c>
      <c r="D49" s="2">
        <f t="shared" ref="D49:D50" si="3">B49*C49</f>
        <v>4800</v>
      </c>
      <c r="F49" s="2">
        <v>500</v>
      </c>
      <c r="G49" s="2">
        <v>10</v>
      </c>
      <c r="H49" s="2">
        <f t="shared" ref="H49:H50" si="4">F49*G49</f>
        <v>5000</v>
      </c>
      <c r="J49" s="2">
        <v>450</v>
      </c>
      <c r="K49" s="2">
        <v>10</v>
      </c>
      <c r="L49" s="2">
        <f t="shared" ref="L49:L50" si="5">J49*K49</f>
        <v>4500</v>
      </c>
    </row>
    <row r="50" spans="1:14">
      <c r="A50" s="2" t="s">
        <v>55</v>
      </c>
      <c r="B50" s="2">
        <v>400</v>
      </c>
      <c r="C50" s="2">
        <v>32</v>
      </c>
      <c r="D50" s="2">
        <f t="shared" si="3"/>
        <v>12800</v>
      </c>
      <c r="F50" s="2">
        <v>500</v>
      </c>
      <c r="G50" s="2">
        <v>30</v>
      </c>
      <c r="H50" s="2">
        <f t="shared" si="4"/>
        <v>15000</v>
      </c>
      <c r="J50" s="2">
        <v>450</v>
      </c>
      <c r="K50" s="2">
        <v>30</v>
      </c>
      <c r="L50" s="2">
        <f t="shared" si="5"/>
        <v>13500</v>
      </c>
    </row>
    <row r="51" spans="1:14">
      <c r="A51" s="2" t="s">
        <v>8</v>
      </c>
      <c r="B51" s="2">
        <v>45000</v>
      </c>
      <c r="C51" s="2">
        <f>D51/B51</f>
        <v>2.891111111111111</v>
      </c>
      <c r="D51" s="2">
        <f>SUM(D48:D50)</f>
        <v>130100</v>
      </c>
      <c r="F51" s="2">
        <v>50000</v>
      </c>
      <c r="G51" s="2">
        <f>H51/F51</f>
        <v>2.8</v>
      </c>
      <c r="H51" s="2">
        <f>SUM(H48:H50)</f>
        <v>140000</v>
      </c>
      <c r="J51" s="2">
        <v>45000</v>
      </c>
      <c r="K51" s="2">
        <f>L51/J51</f>
        <v>2.8</v>
      </c>
      <c r="L51" s="2">
        <f>SUM(L48:L50)</f>
        <v>126000</v>
      </c>
    </row>
    <row r="53" spans="1:14">
      <c r="J53" s="1" t="s">
        <v>58</v>
      </c>
    </row>
    <row r="54" spans="1:14" ht="17.25">
      <c r="A54" s="14" t="s">
        <v>82</v>
      </c>
    </row>
    <row r="56" spans="1:14">
      <c r="B56" s="4" t="s">
        <v>62</v>
      </c>
      <c r="C56" s="6" t="s">
        <v>59</v>
      </c>
      <c r="D56" s="6"/>
    </row>
    <row r="58" spans="1:14">
      <c r="B58" s="7" t="s">
        <v>60</v>
      </c>
      <c r="C58" s="7"/>
      <c r="D58">
        <f>(B48-J48)*K48</f>
        <v>0</v>
      </c>
      <c r="F58" s="4" t="s">
        <v>61</v>
      </c>
      <c r="G58">
        <f>(C48-K48)*B48</f>
        <v>4500</v>
      </c>
    </row>
    <row r="59" spans="1:14">
      <c r="D59">
        <f>(B49-J49)*K49</f>
        <v>-500</v>
      </c>
      <c r="G59">
        <f>(C49-K49)*B49</f>
        <v>800</v>
      </c>
    </row>
    <row r="61" spans="1:14" ht="21">
      <c r="A61" s="5" t="s">
        <v>63</v>
      </c>
    </row>
    <row r="62" spans="1:14">
      <c r="N62" s="67" t="s">
        <v>9</v>
      </c>
    </row>
    <row r="63" spans="1:14">
      <c r="B63" s="34" t="s">
        <v>14</v>
      </c>
      <c r="C63" s="25"/>
      <c r="D63" s="36"/>
      <c r="F63" s="40" t="s">
        <v>53</v>
      </c>
      <c r="G63" s="41"/>
      <c r="H63" s="42"/>
      <c r="J63" s="37" t="s">
        <v>57</v>
      </c>
      <c r="K63" s="38"/>
      <c r="L63" s="39"/>
      <c r="N63" s="67"/>
    </row>
    <row r="64" spans="1:14">
      <c r="A64" s="47"/>
      <c r="B64" s="61" t="s">
        <v>19</v>
      </c>
      <c r="C64" s="61" t="s">
        <v>21</v>
      </c>
      <c r="D64" s="61" t="s">
        <v>56</v>
      </c>
      <c r="F64" s="62" t="s">
        <v>19</v>
      </c>
      <c r="G64" s="62" t="s">
        <v>21</v>
      </c>
      <c r="H64" s="62" t="s">
        <v>56</v>
      </c>
      <c r="J64" s="65" t="s">
        <v>19</v>
      </c>
      <c r="K64" s="65" t="s">
        <v>21</v>
      </c>
      <c r="L64" s="65" t="s">
        <v>56</v>
      </c>
      <c r="N64" s="67"/>
    </row>
    <row r="65" spans="1:14">
      <c r="A65" s="2" t="s">
        <v>54</v>
      </c>
      <c r="B65" s="2">
        <v>1148</v>
      </c>
      <c r="C65" s="2">
        <v>52</v>
      </c>
      <c r="D65" s="2">
        <f>B65*C65</f>
        <v>59696</v>
      </c>
      <c r="F65" s="2">
        <v>1200</v>
      </c>
      <c r="G65" s="2">
        <v>50</v>
      </c>
      <c r="H65" s="2">
        <f>F65*G65</f>
        <v>60000</v>
      </c>
      <c r="J65" s="3">
        <v>1148</v>
      </c>
      <c r="K65" s="2">
        <v>50</v>
      </c>
      <c r="L65" s="2">
        <f>J65*K65</f>
        <v>57400</v>
      </c>
      <c r="N65" s="67">
        <f>D65-L65</f>
        <v>2296</v>
      </c>
    </row>
    <row r="66" spans="1:14">
      <c r="A66" s="2" t="s">
        <v>46</v>
      </c>
      <c r="B66" s="2">
        <v>550</v>
      </c>
      <c r="C66" s="2">
        <v>14</v>
      </c>
      <c r="D66" s="2">
        <f t="shared" ref="D66:D67" si="6">B66*C66</f>
        <v>7700</v>
      </c>
      <c r="F66" s="2">
        <v>600</v>
      </c>
      <c r="G66" s="2">
        <v>12</v>
      </c>
      <c r="H66" s="2">
        <f t="shared" ref="H66" si="7">F66*G66</f>
        <v>7200</v>
      </c>
      <c r="J66" s="2">
        <v>574</v>
      </c>
      <c r="K66" s="2">
        <v>12</v>
      </c>
      <c r="L66" s="2">
        <f t="shared" ref="L66" si="8">J66*K66</f>
        <v>6888</v>
      </c>
      <c r="N66" s="67">
        <f>D66-L66</f>
        <v>812</v>
      </c>
    </row>
    <row r="67" spans="1:14">
      <c r="A67" s="2" t="s">
        <v>64</v>
      </c>
      <c r="B67" s="2">
        <v>550</v>
      </c>
      <c r="C67" s="2">
        <f>D67/B67</f>
        <v>169.68</v>
      </c>
      <c r="D67" s="2">
        <v>93324</v>
      </c>
      <c r="F67" s="2">
        <v>600</v>
      </c>
      <c r="G67" s="2">
        <f>H67/F67</f>
        <v>188</v>
      </c>
      <c r="H67" s="2">
        <v>112800</v>
      </c>
      <c r="J67" s="2">
        <v>574</v>
      </c>
      <c r="K67" s="2">
        <f>L67/J67</f>
        <v>188</v>
      </c>
      <c r="L67" s="2">
        <v>107912</v>
      </c>
      <c r="N67" s="67">
        <f>D67-L67</f>
        <v>-14588</v>
      </c>
    </row>
    <row r="68" spans="1:14">
      <c r="A68" s="2" t="s">
        <v>8</v>
      </c>
      <c r="B68" s="2">
        <v>11480</v>
      </c>
      <c r="C68" s="2">
        <f>D68/B68</f>
        <v>14</v>
      </c>
      <c r="D68" s="2">
        <f>SUM(D65:D67)</f>
        <v>160720</v>
      </c>
      <c r="F68" s="2">
        <v>12000</v>
      </c>
      <c r="G68" s="2">
        <f>H68/F68</f>
        <v>15</v>
      </c>
      <c r="H68" s="2">
        <f>SUM(H65:H67)</f>
        <v>180000</v>
      </c>
      <c r="J68" s="2">
        <v>11480</v>
      </c>
      <c r="K68" s="2">
        <f>L68/J68</f>
        <v>15</v>
      </c>
      <c r="L68" s="2">
        <f>SUM(L65:L67)</f>
        <v>172200</v>
      </c>
      <c r="N68" s="67">
        <f>D68-L68</f>
        <v>-11480</v>
      </c>
    </row>
    <row r="70" spans="1:14" ht="17.25">
      <c r="A70" s="14" t="s">
        <v>82</v>
      </c>
      <c r="J70" s="1" t="s">
        <v>65</v>
      </c>
      <c r="K70" s="1"/>
    </row>
    <row r="71" spans="1:14" ht="17.25">
      <c r="A71" s="14"/>
      <c r="J71" s="1"/>
      <c r="K71" s="1"/>
    </row>
    <row r="72" spans="1:14">
      <c r="A72" t="s">
        <v>66</v>
      </c>
      <c r="B72">
        <f>(C65-K65)*B65</f>
        <v>2296</v>
      </c>
      <c r="D72" t="s">
        <v>67</v>
      </c>
      <c r="F72">
        <f>(B65-J65)*K65</f>
        <v>0</v>
      </c>
    </row>
    <row r="73" spans="1:14">
      <c r="B73">
        <f>(C66-K66)*B66</f>
        <v>1100</v>
      </c>
      <c r="F73">
        <f>(B66-J66)*K66</f>
        <v>-288</v>
      </c>
    </row>
  </sheetData>
  <mergeCells count="9">
    <mergeCell ref="F63:H63"/>
    <mergeCell ref="B63:D63"/>
    <mergeCell ref="J63:L63"/>
    <mergeCell ref="C56:D56"/>
    <mergeCell ref="B58:C58"/>
    <mergeCell ref="B9:D9"/>
    <mergeCell ref="F9:H9"/>
    <mergeCell ref="B30:D30"/>
    <mergeCell ref="F30:H3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5:R77"/>
  <sheetViews>
    <sheetView workbookViewId="0">
      <selection activeCell="A3" sqref="A3:XFD3"/>
    </sheetView>
  </sheetViews>
  <sheetFormatPr baseColWidth="10" defaultRowHeight="15"/>
  <cols>
    <col min="1" max="1" width="12.5703125" customWidth="1"/>
    <col min="5" max="5" width="27.5703125" customWidth="1"/>
  </cols>
  <sheetData>
    <row r="5" spans="1:12" ht="26.25">
      <c r="A5" s="22" t="s">
        <v>102</v>
      </c>
    </row>
    <row r="8" spans="1:12">
      <c r="A8" s="2"/>
      <c r="B8" s="27" t="s">
        <v>68</v>
      </c>
      <c r="C8" s="28"/>
      <c r="D8" s="29"/>
      <c r="G8" s="2"/>
      <c r="H8" s="24" t="s">
        <v>147</v>
      </c>
      <c r="I8" s="25"/>
      <c r="J8" s="26"/>
      <c r="L8" s="2" t="s">
        <v>107</v>
      </c>
    </row>
    <row r="9" spans="1:12">
      <c r="A9" s="2"/>
      <c r="B9" s="2" t="s">
        <v>3</v>
      </c>
      <c r="C9" s="2" t="s">
        <v>5</v>
      </c>
      <c r="D9" s="2" t="s">
        <v>39</v>
      </c>
      <c r="G9" s="2"/>
      <c r="H9" s="2" t="s">
        <v>3</v>
      </c>
      <c r="I9" s="2" t="s">
        <v>5</v>
      </c>
      <c r="J9" s="2" t="s">
        <v>39</v>
      </c>
      <c r="L9" s="2"/>
    </row>
    <row r="10" spans="1:12">
      <c r="A10" s="30" t="s">
        <v>103</v>
      </c>
      <c r="B10" s="2">
        <v>6450</v>
      </c>
      <c r="C10" s="2">
        <v>15.2</v>
      </c>
      <c r="D10" s="2">
        <f>B10*C10</f>
        <v>98040</v>
      </c>
      <c r="G10" s="30" t="s">
        <v>103</v>
      </c>
      <c r="H10" s="3">
        <v>6450</v>
      </c>
      <c r="I10" s="2">
        <v>15</v>
      </c>
      <c r="J10" s="2">
        <f>H10*I10</f>
        <v>96750</v>
      </c>
      <c r="L10" s="2">
        <f>D10-J10</f>
        <v>1290</v>
      </c>
    </row>
    <row r="11" spans="1:12">
      <c r="A11" s="30" t="s">
        <v>104</v>
      </c>
      <c r="B11" s="2">
        <v>3800</v>
      </c>
      <c r="C11" s="2">
        <v>18.5</v>
      </c>
      <c r="D11" s="2">
        <f t="shared" ref="D11:D13" si="0">B11*C11</f>
        <v>70300</v>
      </c>
      <c r="G11" s="30" t="s">
        <v>104</v>
      </c>
      <c r="H11" s="2">
        <v>3870</v>
      </c>
      <c r="I11" s="2">
        <v>18</v>
      </c>
      <c r="J11" s="2">
        <f t="shared" ref="J11:J13" si="1">H11*I11</f>
        <v>69660</v>
      </c>
      <c r="L11" s="2">
        <f t="shared" ref="L11:L14" si="2">D11-J11</f>
        <v>640</v>
      </c>
    </row>
    <row r="12" spans="1:12">
      <c r="A12" s="30" t="s">
        <v>33</v>
      </c>
      <c r="B12" s="2">
        <v>7700</v>
      </c>
      <c r="C12" s="2">
        <v>14</v>
      </c>
      <c r="D12" s="2">
        <f t="shared" si="0"/>
        <v>107800</v>
      </c>
      <c r="G12" s="30" t="s">
        <v>33</v>
      </c>
      <c r="H12" s="2">
        <v>7740</v>
      </c>
      <c r="I12" s="2">
        <v>13</v>
      </c>
      <c r="J12" s="2">
        <f t="shared" si="1"/>
        <v>100620</v>
      </c>
      <c r="L12" s="2">
        <f t="shared" si="2"/>
        <v>7180</v>
      </c>
    </row>
    <row r="13" spans="1:12">
      <c r="A13" s="30" t="s">
        <v>105</v>
      </c>
      <c r="B13" s="2">
        <v>800</v>
      </c>
      <c r="C13" s="2">
        <v>70</v>
      </c>
      <c r="D13" s="2">
        <f t="shared" si="0"/>
        <v>56000</v>
      </c>
      <c r="G13" s="30" t="s">
        <v>105</v>
      </c>
      <c r="H13" s="2">
        <v>825.6</v>
      </c>
      <c r="I13" s="2">
        <v>65</v>
      </c>
      <c r="J13" s="2">
        <f t="shared" si="1"/>
        <v>53664</v>
      </c>
      <c r="L13" s="18">
        <f t="shared" si="2"/>
        <v>2336</v>
      </c>
    </row>
    <row r="14" spans="1:12">
      <c r="A14" s="30" t="s">
        <v>38</v>
      </c>
      <c r="B14" s="2">
        <v>12900</v>
      </c>
      <c r="C14" s="2">
        <f>D14/B14</f>
        <v>25.747286821705426</v>
      </c>
      <c r="D14" s="2">
        <f>SUM(D10:D13)</f>
        <v>332140</v>
      </c>
      <c r="G14" s="30" t="s">
        <v>38</v>
      </c>
      <c r="H14" s="2">
        <v>12900</v>
      </c>
      <c r="I14" s="2">
        <f>J14/H14</f>
        <v>24.86</v>
      </c>
      <c r="J14" s="2">
        <f>SUM(J10:J13)</f>
        <v>320694</v>
      </c>
      <c r="L14" s="2">
        <f t="shared" si="2"/>
        <v>11446</v>
      </c>
    </row>
    <row r="17" spans="1:18" ht="30">
      <c r="G17" s="12" t="s">
        <v>106</v>
      </c>
    </row>
    <row r="18" spans="1:18" ht="17.25">
      <c r="A18" s="16" t="s">
        <v>109</v>
      </c>
      <c r="B18" s="14"/>
      <c r="C18" s="14"/>
      <c r="G18" s="13"/>
    </row>
    <row r="19" spans="1:18" ht="17.25">
      <c r="A19" s="14"/>
      <c r="B19" s="14"/>
      <c r="C19" s="14"/>
      <c r="G19" s="13"/>
    </row>
    <row r="20" spans="1:18">
      <c r="A20" t="s">
        <v>110</v>
      </c>
      <c r="E20" t="s">
        <v>67</v>
      </c>
      <c r="G20" s="13"/>
    </row>
    <row r="21" spans="1:18">
      <c r="A21" t="s">
        <v>103</v>
      </c>
      <c r="B21">
        <f>(C10-I10)*B10</f>
        <v>1289.9999999999955</v>
      </c>
      <c r="E21">
        <f>(B10-H10)*I10</f>
        <v>0</v>
      </c>
    </row>
    <row r="22" spans="1:18">
      <c r="A22" t="s">
        <v>104</v>
      </c>
      <c r="B22">
        <f>(C11-I11)*B11</f>
        <v>1900</v>
      </c>
      <c r="E22">
        <f>(B11-H11)*I11</f>
        <v>-1260</v>
      </c>
    </row>
    <row r="23" spans="1:18">
      <c r="A23" t="s">
        <v>33</v>
      </c>
      <c r="B23">
        <f>(C12-I12)*B12</f>
        <v>7700</v>
      </c>
      <c r="E23">
        <f>(B12-H12)*I12</f>
        <v>-520</v>
      </c>
    </row>
    <row r="25" spans="1:18" ht="17.25">
      <c r="A25" s="16" t="s">
        <v>108</v>
      </c>
      <c r="B25" s="14"/>
      <c r="C25" s="14"/>
    </row>
    <row r="26" spans="1:18" ht="17.25">
      <c r="A26" s="14"/>
      <c r="B26" s="14"/>
      <c r="C26" s="14"/>
    </row>
    <row r="27" spans="1:18">
      <c r="A27" s="4" t="s">
        <v>111</v>
      </c>
      <c r="C27">
        <f>D13-C44</f>
        <v>5120</v>
      </c>
      <c r="H27" s="4" t="s">
        <v>114</v>
      </c>
      <c r="J27">
        <f>C44-(I13*B13)</f>
        <v>-1120</v>
      </c>
      <c r="M27" s="4" t="s">
        <v>127</v>
      </c>
      <c r="O27">
        <f>(B13*I13) -(I13*H13)</f>
        <v>-1664</v>
      </c>
    </row>
    <row r="28" spans="1:18">
      <c r="A28" s="6" t="s">
        <v>112</v>
      </c>
      <c r="B28" s="6"/>
      <c r="C28" s="6"/>
      <c r="D28" s="6"/>
      <c r="G28" s="6" t="s">
        <v>125</v>
      </c>
      <c r="H28" s="6"/>
      <c r="I28" s="6"/>
      <c r="J28" s="6"/>
      <c r="M28" s="6" t="s">
        <v>128</v>
      </c>
      <c r="N28" s="6"/>
      <c r="O28" s="6"/>
      <c r="P28" s="6"/>
      <c r="Q28" s="6"/>
      <c r="R28" s="6"/>
    </row>
    <row r="29" spans="1:18">
      <c r="A29" s="6" t="s">
        <v>113</v>
      </c>
      <c r="B29" s="6"/>
      <c r="C29" s="6"/>
      <c r="D29" s="6"/>
      <c r="E29" s="6"/>
      <c r="F29" s="6"/>
      <c r="G29" s="6" t="s">
        <v>126</v>
      </c>
      <c r="H29" s="6"/>
      <c r="I29" s="6"/>
      <c r="J29" s="6"/>
      <c r="M29" s="6" t="s">
        <v>129</v>
      </c>
      <c r="N29" s="6"/>
      <c r="O29" s="6"/>
      <c r="P29" s="6"/>
      <c r="Q29" s="6"/>
    </row>
    <row r="30" spans="1:18">
      <c r="A30" s="15"/>
      <c r="B30" s="15"/>
      <c r="C30" s="15"/>
      <c r="D30" s="15"/>
      <c r="E30" s="15"/>
      <c r="F30" s="15"/>
      <c r="G30" s="15"/>
      <c r="H30" s="15"/>
      <c r="I30" s="15"/>
      <c r="J30" s="15"/>
      <c r="M30" s="15"/>
      <c r="N30" s="15"/>
      <c r="O30" s="15"/>
      <c r="P30" s="15"/>
      <c r="Q30" s="15"/>
    </row>
    <row r="31" spans="1:18">
      <c r="A31" s="15" t="s">
        <v>71</v>
      </c>
      <c r="B31" s="19">
        <f>C27+J27+O27</f>
        <v>2336</v>
      </c>
      <c r="C31" s="15"/>
      <c r="D31" s="15"/>
      <c r="E31" s="15"/>
      <c r="F31" s="15"/>
      <c r="G31" s="15"/>
      <c r="H31" s="15"/>
      <c r="I31" s="15"/>
      <c r="J31" s="15"/>
      <c r="M31" s="15"/>
      <c r="N31" s="15"/>
      <c r="O31" s="15"/>
      <c r="P31" s="15"/>
      <c r="Q31" s="15"/>
    </row>
    <row r="32" spans="1:18">
      <c r="G32" s="6"/>
      <c r="H32" s="6"/>
      <c r="I32" s="6"/>
      <c r="J32" s="6"/>
    </row>
    <row r="33" spans="1:3">
      <c r="A33" s="4" t="s">
        <v>115</v>
      </c>
    </row>
    <row r="34" spans="1:3">
      <c r="A34" t="s">
        <v>116</v>
      </c>
      <c r="B34" t="s">
        <v>117</v>
      </c>
      <c r="C34" t="s">
        <v>118</v>
      </c>
    </row>
    <row r="36" spans="1:3">
      <c r="A36" t="s">
        <v>119</v>
      </c>
      <c r="B36" t="s">
        <v>120</v>
      </c>
      <c r="C36">
        <v>23040</v>
      </c>
    </row>
    <row r="37" spans="1:3">
      <c r="A37" t="s">
        <v>121</v>
      </c>
      <c r="B37" t="s">
        <v>122</v>
      </c>
      <c r="C37">
        <v>26880</v>
      </c>
    </row>
    <row r="38" spans="1:3">
      <c r="C38">
        <f>SUM(C36:C37)</f>
        <v>49920</v>
      </c>
    </row>
    <row r="40" spans="1:3">
      <c r="A40" s="4" t="s">
        <v>123</v>
      </c>
    </row>
    <row r="42" spans="1:3">
      <c r="A42" t="s">
        <v>119</v>
      </c>
      <c r="B42" t="s">
        <v>124</v>
      </c>
      <c r="C42">
        <v>24000</v>
      </c>
    </row>
    <row r="43" spans="1:3">
      <c r="A43" t="s">
        <v>121</v>
      </c>
      <c r="C43">
        <v>26880</v>
      </c>
    </row>
    <row r="44" spans="1:3">
      <c r="C44">
        <f>SUM(C42:C43)</f>
        <v>50880</v>
      </c>
    </row>
    <row r="47" spans="1:3" ht="26.25">
      <c r="A47" s="22" t="s">
        <v>88</v>
      </c>
    </row>
    <row r="49" spans="1:6">
      <c r="A49" s="6" t="s">
        <v>130</v>
      </c>
      <c r="B49" s="6"/>
      <c r="C49" s="6"/>
      <c r="D49" s="6"/>
      <c r="E49" s="6"/>
      <c r="F49" s="6"/>
    </row>
    <row r="50" spans="1:6">
      <c r="A50" t="s">
        <v>146</v>
      </c>
      <c r="B50">
        <v>216000</v>
      </c>
    </row>
    <row r="51" spans="1:6">
      <c r="A51" s="6" t="s">
        <v>131</v>
      </c>
      <c r="B51" s="6"/>
      <c r="C51" s="6"/>
      <c r="D51" s="6"/>
      <c r="E51" s="6"/>
    </row>
    <row r="52" spans="1:6">
      <c r="A52" s="6" t="s">
        <v>132</v>
      </c>
      <c r="B52" s="6"/>
      <c r="C52" s="6"/>
      <c r="D52" s="6"/>
    </row>
    <row r="54" spans="1:6">
      <c r="A54" s="7" t="s">
        <v>133</v>
      </c>
      <c r="B54" s="7"/>
      <c r="C54" s="7"/>
      <c r="D54" s="7"/>
      <c r="E54" s="7"/>
    </row>
    <row r="55" spans="1:6">
      <c r="A55" s="6" t="s">
        <v>134</v>
      </c>
      <c r="B55" s="6"/>
      <c r="C55" s="6"/>
      <c r="D55" s="6"/>
      <c r="E55" s="6"/>
    </row>
    <row r="56" spans="1:6">
      <c r="A56" t="s">
        <v>119</v>
      </c>
      <c r="B56" t="s">
        <v>135</v>
      </c>
      <c r="C56">
        <v>45400</v>
      </c>
    </row>
    <row r="57" spans="1:6">
      <c r="A57" t="s">
        <v>121</v>
      </c>
      <c r="B57" t="s">
        <v>136</v>
      </c>
      <c r="C57">
        <v>136200</v>
      </c>
    </row>
    <row r="58" spans="1:6">
      <c r="C58">
        <f>SUM(C56:C57)</f>
        <v>181600</v>
      </c>
    </row>
    <row r="60" spans="1:6">
      <c r="A60" s="7" t="s">
        <v>142</v>
      </c>
      <c r="B60" s="7"/>
      <c r="C60" s="7"/>
      <c r="D60" s="7"/>
      <c r="E60" s="7"/>
    </row>
    <row r="61" spans="1:6">
      <c r="A61" s="21" t="s">
        <v>143</v>
      </c>
      <c r="B61" s="21"/>
      <c r="C61" s="21"/>
      <c r="D61" s="21"/>
      <c r="E61" s="8"/>
    </row>
    <row r="63" spans="1:6">
      <c r="A63" s="7" t="s">
        <v>137</v>
      </c>
      <c r="B63" s="6"/>
      <c r="C63" s="6"/>
      <c r="D63" s="6"/>
      <c r="E63" s="6"/>
    </row>
    <row r="64" spans="1:6">
      <c r="A64" t="s">
        <v>119</v>
      </c>
      <c r="B64" t="s">
        <v>138</v>
      </c>
      <c r="C64">
        <v>50000</v>
      </c>
    </row>
    <row r="65" spans="1:8">
      <c r="A65" t="s">
        <v>121</v>
      </c>
      <c r="B65" t="s">
        <v>139</v>
      </c>
      <c r="C65">
        <v>150000</v>
      </c>
    </row>
    <row r="66" spans="1:8">
      <c r="C66">
        <f>SUM(C64:C65)</f>
        <v>200000</v>
      </c>
    </row>
    <row r="68" spans="1:8">
      <c r="A68" s="7" t="s">
        <v>140</v>
      </c>
      <c r="B68" s="6"/>
      <c r="C68" s="6"/>
      <c r="D68" s="6"/>
      <c r="E68" s="6"/>
    </row>
    <row r="69" spans="1:8">
      <c r="A69" t="s">
        <v>119</v>
      </c>
      <c r="B69" t="s">
        <v>141</v>
      </c>
      <c r="C69">
        <v>45000</v>
      </c>
    </row>
    <row r="70" spans="1:8">
      <c r="A70" t="s">
        <v>121</v>
      </c>
      <c r="C70">
        <v>150000</v>
      </c>
    </row>
    <row r="71" spans="1:8">
      <c r="C71">
        <f>SUM(C69:C70)</f>
        <v>195000</v>
      </c>
    </row>
    <row r="73" spans="1:8">
      <c r="A73" s="4" t="s">
        <v>144</v>
      </c>
      <c r="E73" s="4" t="s">
        <v>114</v>
      </c>
      <c r="H73" s="4" t="s">
        <v>145</v>
      </c>
    </row>
    <row r="74" spans="1:8">
      <c r="A74">
        <f>B50-C71</f>
        <v>21000</v>
      </c>
      <c r="E74">
        <f>C71-(100*1800)</f>
        <v>15000</v>
      </c>
      <c r="H74">
        <f>(100*1800) - (100*1816)</f>
        <v>-1600</v>
      </c>
    </row>
    <row r="77" spans="1:8">
      <c r="A77" t="s">
        <v>71</v>
      </c>
      <c r="B77" s="20">
        <f>A74+E74+H74</f>
        <v>34400</v>
      </c>
    </row>
  </sheetData>
  <mergeCells count="18">
    <mergeCell ref="B8:D8"/>
    <mergeCell ref="H8:J8"/>
    <mergeCell ref="A52:D52"/>
    <mergeCell ref="A54:E54"/>
    <mergeCell ref="A55:E55"/>
    <mergeCell ref="A63:E63"/>
    <mergeCell ref="A68:E68"/>
    <mergeCell ref="A60:E60"/>
    <mergeCell ref="A61:D61"/>
    <mergeCell ref="M28:R28"/>
    <mergeCell ref="M29:Q29"/>
    <mergeCell ref="A49:F49"/>
    <mergeCell ref="A51:E51"/>
    <mergeCell ref="A28:D28"/>
    <mergeCell ref="A29:F29"/>
    <mergeCell ref="G28:J28"/>
    <mergeCell ref="G29:J29"/>
    <mergeCell ref="G32:J3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workbookViewId="0">
      <selection activeCell="A12" sqref="A12"/>
    </sheetView>
  </sheetViews>
  <sheetFormatPr baseColWidth="10" defaultRowHeight="15"/>
  <cols>
    <col min="1" max="1" width="14.85546875" customWidth="1"/>
    <col min="5" max="5" width="16.5703125" customWidth="1"/>
  </cols>
  <sheetData>
    <row r="2" spans="1:5" ht="23.25">
      <c r="A2" s="9"/>
      <c r="B2" s="9"/>
      <c r="C2" s="6"/>
      <c r="D2" s="6"/>
      <c r="E2" s="6"/>
    </row>
    <row r="3" spans="1:5" ht="23.25">
      <c r="A3" s="53"/>
      <c r="B3" s="53"/>
      <c r="C3" s="15"/>
      <c r="D3" s="15"/>
      <c r="E3" s="15"/>
    </row>
    <row r="4" spans="1:5" ht="23.25">
      <c r="A4" s="53"/>
      <c r="B4" s="53"/>
      <c r="C4" s="15"/>
      <c r="D4" s="15"/>
      <c r="E4" s="15"/>
    </row>
    <row r="6" spans="1:5" ht="26.25">
      <c r="A6" s="22" t="s">
        <v>87</v>
      </c>
    </row>
    <row r="7" spans="1:5">
      <c r="A7" s="2"/>
      <c r="B7" s="2" t="s">
        <v>3</v>
      </c>
      <c r="C7" s="2" t="s">
        <v>69</v>
      </c>
      <c r="D7" s="2" t="s">
        <v>70</v>
      </c>
    </row>
    <row r="8" spans="1:5">
      <c r="A8" s="10" t="s">
        <v>76</v>
      </c>
      <c r="B8" s="2">
        <v>8000</v>
      </c>
      <c r="C8" s="2">
        <v>7</v>
      </c>
      <c r="D8" s="2">
        <f>B8*C8</f>
        <v>56000</v>
      </c>
    </row>
    <row r="9" spans="1:5">
      <c r="A9" s="10" t="s">
        <v>77</v>
      </c>
      <c r="B9" s="2">
        <v>7000</v>
      </c>
      <c r="C9" s="2">
        <v>8.5</v>
      </c>
      <c r="D9" s="2">
        <f>B9*C9</f>
        <v>59500</v>
      </c>
    </row>
    <row r="10" spans="1:5">
      <c r="A10" s="10" t="s">
        <v>78</v>
      </c>
      <c r="B10" s="2"/>
      <c r="C10" s="2"/>
      <c r="D10" s="2">
        <f>D9-D8</f>
        <v>3500</v>
      </c>
    </row>
    <row r="11" spans="1:5">
      <c r="A11" s="57"/>
      <c r="B11" s="11"/>
      <c r="C11" s="11"/>
      <c r="D11" s="11"/>
    </row>
    <row r="12" spans="1:5" ht="17.25">
      <c r="A12" s="14" t="s">
        <v>82</v>
      </c>
    </row>
    <row r="14" spans="1:5">
      <c r="A14" t="s">
        <v>60</v>
      </c>
      <c r="C14">
        <f>(B9-B8)*C8</f>
        <v>-7000</v>
      </c>
    </row>
    <row r="15" spans="1:5">
      <c r="A15" t="s">
        <v>61</v>
      </c>
      <c r="C15">
        <f>(C9-C8)*B9</f>
        <v>10500</v>
      </c>
    </row>
    <row r="16" spans="1:5">
      <c r="A16" t="s">
        <v>79</v>
      </c>
      <c r="C16">
        <f>C15+C14</f>
        <v>3500</v>
      </c>
    </row>
    <row r="19" spans="1:10" ht="26.25">
      <c r="A19" s="22" t="s">
        <v>81</v>
      </c>
    </row>
    <row r="20" spans="1:10">
      <c r="A20" s="10"/>
      <c r="B20" s="34" t="s">
        <v>170</v>
      </c>
      <c r="C20" s="35"/>
      <c r="D20" s="35"/>
      <c r="E20" s="36"/>
      <c r="F20" s="40" t="s">
        <v>80</v>
      </c>
      <c r="G20" s="41"/>
      <c r="H20" s="41"/>
      <c r="I20" s="23"/>
      <c r="J20" s="2" t="s">
        <v>73</v>
      </c>
    </row>
    <row r="21" spans="1:10">
      <c r="A21" s="2"/>
      <c r="B21" s="2" t="s">
        <v>3</v>
      </c>
      <c r="C21" s="2" t="s">
        <v>69</v>
      </c>
      <c r="D21" s="2" t="s">
        <v>39</v>
      </c>
      <c r="E21" s="2" t="s">
        <v>7</v>
      </c>
      <c r="F21" s="2" t="s">
        <v>3</v>
      </c>
      <c r="G21" s="2" t="s">
        <v>69</v>
      </c>
      <c r="H21" s="2" t="s">
        <v>39</v>
      </c>
      <c r="I21" s="2" t="s">
        <v>7</v>
      </c>
      <c r="J21" s="2"/>
    </row>
    <row r="22" spans="1:10">
      <c r="A22" s="2" t="s">
        <v>74</v>
      </c>
      <c r="B22" s="2">
        <v>30000</v>
      </c>
      <c r="C22" s="2">
        <v>1</v>
      </c>
      <c r="D22" s="2">
        <f>B22*C22</f>
        <v>30000</v>
      </c>
      <c r="E22" s="2">
        <f>B22/B24</f>
        <v>0.46153846153846156</v>
      </c>
      <c r="F22" s="2">
        <v>25000</v>
      </c>
      <c r="G22" s="2">
        <v>0.9</v>
      </c>
      <c r="H22" s="2">
        <f>F22*G22</f>
        <v>22500</v>
      </c>
      <c r="I22" s="2">
        <f>F22/F24</f>
        <v>0.38461538461538464</v>
      </c>
      <c r="J22" s="2">
        <f>D22-H22</f>
        <v>7500</v>
      </c>
    </row>
    <row r="23" spans="1:10">
      <c r="A23" s="10" t="s">
        <v>75</v>
      </c>
      <c r="B23" s="2">
        <v>35000</v>
      </c>
      <c r="C23" s="2">
        <v>0.95</v>
      </c>
      <c r="D23" s="2">
        <f>B23*C23</f>
        <v>33250</v>
      </c>
      <c r="E23" s="2">
        <f>B23/B24</f>
        <v>0.53846153846153844</v>
      </c>
      <c r="F23" s="2">
        <v>40000</v>
      </c>
      <c r="G23" s="2">
        <v>0.85</v>
      </c>
      <c r="H23" s="2">
        <f>F23*G23</f>
        <v>34000</v>
      </c>
      <c r="I23" s="2">
        <f>F23/F24</f>
        <v>0.61538461538461542</v>
      </c>
      <c r="J23" s="2">
        <f>D23-H23</f>
        <v>-750</v>
      </c>
    </row>
    <row r="24" spans="1:10">
      <c r="A24" s="2" t="s">
        <v>72</v>
      </c>
      <c r="B24" s="2">
        <f>SUM(B22:B23)</f>
        <v>65000</v>
      </c>
      <c r="C24" s="2"/>
      <c r="D24" s="2">
        <f>D22+D23</f>
        <v>63250</v>
      </c>
      <c r="E24" s="2"/>
      <c r="F24" s="2">
        <f>SUM(F22:F23)</f>
        <v>65000</v>
      </c>
      <c r="G24" s="2"/>
      <c r="H24" s="2">
        <f>H22+H23</f>
        <v>56500</v>
      </c>
      <c r="I24" s="2"/>
      <c r="J24" s="3">
        <f>D24-H24</f>
        <v>6750</v>
      </c>
    </row>
    <row r="26" spans="1:10" ht="17.25">
      <c r="A26" s="14" t="s">
        <v>82</v>
      </c>
    </row>
    <row r="27" spans="1:10" ht="17.25">
      <c r="A27" s="14"/>
    </row>
    <row r="28" spans="1:10">
      <c r="A28" s="52" t="s">
        <v>61</v>
      </c>
      <c r="E28" s="52" t="s">
        <v>60</v>
      </c>
    </row>
    <row r="29" spans="1:10">
      <c r="A29" s="52"/>
      <c r="B29" t="s">
        <v>74</v>
      </c>
      <c r="C29">
        <f>(C22-G22)*B22</f>
        <v>2999.9999999999995</v>
      </c>
      <c r="E29" s="52"/>
      <c r="F29" t="s">
        <v>74</v>
      </c>
      <c r="G29">
        <f>(B22-F22)*G22</f>
        <v>4500</v>
      </c>
    </row>
    <row r="30" spans="1:10">
      <c r="B30" t="s">
        <v>75</v>
      </c>
      <c r="C30">
        <f>(C23-G23)*B23</f>
        <v>3499.9999999999991</v>
      </c>
      <c r="F30" t="s">
        <v>75</v>
      </c>
      <c r="G30">
        <f>(B23-F23)*G23</f>
        <v>-4250</v>
      </c>
    </row>
    <row r="31" spans="1:10">
      <c r="B31" t="s">
        <v>8</v>
      </c>
      <c r="C31">
        <f>SUM(C29:C30)</f>
        <v>6499.9999999999982</v>
      </c>
      <c r="F31" t="s">
        <v>8</v>
      </c>
      <c r="G31" s="56">
        <f>SUM(G29:G30)</f>
        <v>250</v>
      </c>
    </row>
    <row r="32" spans="1:10">
      <c r="A32" t="s">
        <v>79</v>
      </c>
      <c r="B32" s="1">
        <f>C31+G31</f>
        <v>6749.9999999999982</v>
      </c>
    </row>
    <row r="35" spans="1:4" ht="17.25">
      <c r="A35" s="14" t="s">
        <v>83</v>
      </c>
    </row>
    <row r="37" spans="1:4">
      <c r="A37" s="52" t="s">
        <v>84</v>
      </c>
      <c r="C37" t="s">
        <v>85</v>
      </c>
      <c r="D37">
        <f>((G22*F22)+(G23*F23))/(F23+F22)</f>
        <v>0.86923076923076925</v>
      </c>
    </row>
    <row r="38" spans="1:4">
      <c r="C38">
        <f>(B24-F24)*D37</f>
        <v>0</v>
      </c>
    </row>
    <row r="41" spans="1:4">
      <c r="A41" s="52" t="s">
        <v>86</v>
      </c>
      <c r="C41" t="s">
        <v>74</v>
      </c>
      <c r="D41">
        <f>(E22-I22)*B24*G22</f>
        <v>4500</v>
      </c>
    </row>
    <row r="42" spans="1:4">
      <c r="C42" t="s">
        <v>75</v>
      </c>
      <c r="D42">
        <f>(E23-I23)*B24*G23</f>
        <v>-4250.0000000000027</v>
      </c>
    </row>
    <row r="43" spans="1:4">
      <c r="D43">
        <f>SUM(D41:D42)</f>
        <v>249.99999999999727</v>
      </c>
    </row>
    <row r="44" spans="1:4">
      <c r="A44" t="s">
        <v>79</v>
      </c>
      <c r="C44" s="56">
        <f>C38+D43</f>
        <v>249.99999999999727</v>
      </c>
    </row>
  </sheetData>
  <mergeCells count="3">
    <mergeCell ref="A2:E2"/>
    <mergeCell ref="B20:E20"/>
    <mergeCell ref="F20:I2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>
      <selection activeCell="J19" sqref="J19"/>
    </sheetView>
  </sheetViews>
  <sheetFormatPr baseColWidth="10" defaultRowHeight="15"/>
  <cols>
    <col min="1" max="1" width="12" customWidth="1"/>
  </cols>
  <sheetData>
    <row r="1" spans="1:13" ht="23.25">
      <c r="A1" s="9"/>
      <c r="B1" s="9"/>
      <c r="C1" s="6"/>
      <c r="D1" s="6"/>
      <c r="E1" s="6"/>
    </row>
    <row r="5" spans="1:13" ht="21">
      <c r="A5" s="5" t="s">
        <v>88</v>
      </c>
    </row>
    <row r="7" spans="1:13">
      <c r="A7" s="2"/>
      <c r="B7" s="34" t="s">
        <v>91</v>
      </c>
      <c r="C7" s="35"/>
      <c r="D7" s="35"/>
      <c r="E7" s="35"/>
      <c r="F7" s="36"/>
      <c r="H7" s="2"/>
      <c r="I7" s="2"/>
      <c r="J7" s="40" t="s">
        <v>95</v>
      </c>
      <c r="K7" s="41"/>
      <c r="L7" s="41"/>
      <c r="M7" s="42"/>
    </row>
    <row r="8" spans="1:13">
      <c r="A8" s="2"/>
      <c r="B8" s="2" t="s">
        <v>3</v>
      </c>
      <c r="C8" s="2" t="s">
        <v>69</v>
      </c>
      <c r="D8" s="2" t="s">
        <v>5</v>
      </c>
      <c r="E8" s="2" t="s">
        <v>90</v>
      </c>
      <c r="F8" s="2" t="s">
        <v>39</v>
      </c>
      <c r="H8" s="2"/>
      <c r="I8" s="2" t="s">
        <v>3</v>
      </c>
      <c r="J8" s="2" t="s">
        <v>69</v>
      </c>
      <c r="K8" s="2" t="s">
        <v>5</v>
      </c>
      <c r="L8" s="2" t="s">
        <v>90</v>
      </c>
      <c r="M8" s="2" t="s">
        <v>39</v>
      </c>
    </row>
    <row r="9" spans="1:13">
      <c r="A9" s="30" t="s">
        <v>89</v>
      </c>
      <c r="B9" s="2">
        <v>9000</v>
      </c>
      <c r="C9" s="2">
        <v>10</v>
      </c>
      <c r="D9" s="2">
        <v>6</v>
      </c>
      <c r="E9" s="2">
        <f>C9-D9</f>
        <v>4</v>
      </c>
      <c r="F9" s="2">
        <f>E9*B9</f>
        <v>36000</v>
      </c>
      <c r="H9" s="30" t="s">
        <v>89</v>
      </c>
      <c r="I9" s="2">
        <v>9000</v>
      </c>
      <c r="J9" s="2">
        <v>10</v>
      </c>
      <c r="K9" s="2">
        <v>7</v>
      </c>
      <c r="L9" s="2">
        <f>J9-K9</f>
        <v>3</v>
      </c>
      <c r="M9" s="2">
        <f>L9*I9</f>
        <v>27000</v>
      </c>
    </row>
    <row r="13" spans="1:13">
      <c r="A13" s="2"/>
      <c r="B13" s="37" t="s">
        <v>92</v>
      </c>
      <c r="C13" s="38"/>
      <c r="D13" s="38"/>
      <c r="E13" s="38"/>
      <c r="F13" s="39"/>
      <c r="G13" s="44" t="s">
        <v>73</v>
      </c>
      <c r="H13" s="11"/>
    </row>
    <row r="14" spans="1:13">
      <c r="A14" s="2"/>
      <c r="B14" s="2" t="s">
        <v>3</v>
      </c>
      <c r="C14" s="2" t="s">
        <v>69</v>
      </c>
      <c r="D14" s="2" t="s">
        <v>5</v>
      </c>
      <c r="E14" s="2" t="s">
        <v>90</v>
      </c>
      <c r="F14" s="2" t="s">
        <v>39</v>
      </c>
      <c r="G14" s="43"/>
      <c r="H14" s="11"/>
    </row>
    <row r="15" spans="1:13">
      <c r="A15" s="30" t="s">
        <v>89</v>
      </c>
      <c r="B15" s="2">
        <v>8000</v>
      </c>
      <c r="C15" s="2">
        <v>10.5</v>
      </c>
      <c r="D15" s="2">
        <v>7</v>
      </c>
      <c r="E15" s="2">
        <f>C15-D15</f>
        <v>3.5</v>
      </c>
      <c r="F15" s="2">
        <f>E15*B15</f>
        <v>28000</v>
      </c>
      <c r="G15" s="43">
        <f>M9-F15</f>
        <v>-1000</v>
      </c>
      <c r="H15" s="11"/>
    </row>
    <row r="17" spans="1:15" ht="17.25">
      <c r="A17" s="54" t="s">
        <v>171</v>
      </c>
      <c r="B17" s="54"/>
      <c r="C17" s="54"/>
      <c r="D17" s="54"/>
    </row>
    <row r="18" spans="1:15" ht="17.25">
      <c r="A18" s="55"/>
      <c r="B18" s="55"/>
      <c r="C18" s="55"/>
      <c r="D18" s="55"/>
    </row>
    <row r="19" spans="1:15">
      <c r="A19" s="52" t="s">
        <v>93</v>
      </c>
      <c r="B19">
        <f>(L9-E15)*I9</f>
        <v>-4500</v>
      </c>
      <c r="D19" s="6" t="s">
        <v>163</v>
      </c>
      <c r="E19" s="6"/>
      <c r="F19" s="6"/>
    </row>
    <row r="20" spans="1:15">
      <c r="A20" s="52" t="s">
        <v>94</v>
      </c>
      <c r="B20">
        <f>(I9-B15)*E15</f>
        <v>3500</v>
      </c>
      <c r="D20" s="6" t="s">
        <v>164</v>
      </c>
      <c r="E20" s="6"/>
      <c r="F20" s="6"/>
    </row>
    <row r="21" spans="1:15">
      <c r="A21" t="s">
        <v>71</v>
      </c>
      <c r="B21">
        <f>SUM(B19:B20)</f>
        <v>-1000</v>
      </c>
    </row>
    <row r="24" spans="1:15" ht="21">
      <c r="A24" s="5" t="s">
        <v>96</v>
      </c>
    </row>
    <row r="26" spans="1:15">
      <c r="A26" s="2"/>
      <c r="B26" s="34" t="s">
        <v>91</v>
      </c>
      <c r="C26" s="35"/>
      <c r="D26" s="35"/>
      <c r="E26" s="35"/>
      <c r="F26" s="35"/>
      <c r="G26" s="36"/>
      <c r="I26" s="2"/>
      <c r="J26" s="40" t="s">
        <v>98</v>
      </c>
      <c r="K26" s="41"/>
      <c r="L26" s="41"/>
      <c r="M26" s="41"/>
      <c r="N26" s="41"/>
      <c r="O26" s="23"/>
    </row>
    <row r="27" spans="1:15">
      <c r="A27" s="2"/>
      <c r="B27" s="2" t="s">
        <v>3</v>
      </c>
      <c r="C27" s="2" t="s">
        <v>69</v>
      </c>
      <c r="D27" s="2" t="s">
        <v>5</v>
      </c>
      <c r="E27" s="2" t="s">
        <v>90</v>
      </c>
      <c r="F27" s="2" t="s">
        <v>39</v>
      </c>
      <c r="G27" s="2" t="s">
        <v>7</v>
      </c>
      <c r="I27" s="2"/>
      <c r="J27" s="2" t="s">
        <v>3</v>
      </c>
      <c r="K27" s="2" t="s">
        <v>69</v>
      </c>
      <c r="L27" s="2" t="s">
        <v>5</v>
      </c>
      <c r="M27" s="2" t="s">
        <v>90</v>
      </c>
      <c r="N27" s="2" t="s">
        <v>39</v>
      </c>
      <c r="O27" s="2" t="s">
        <v>7</v>
      </c>
    </row>
    <row r="28" spans="1:15">
      <c r="A28" s="30" t="s">
        <v>74</v>
      </c>
      <c r="B28" s="2">
        <v>1148</v>
      </c>
      <c r="C28" s="2">
        <v>1.7</v>
      </c>
      <c r="D28" s="2">
        <v>1.4</v>
      </c>
      <c r="E28" s="2">
        <f>C28-D28</f>
        <v>0.30000000000000004</v>
      </c>
      <c r="F28" s="2">
        <f>E28*B28</f>
        <v>344.40000000000003</v>
      </c>
      <c r="G28" s="2">
        <f>B28/B30</f>
        <v>0.56000000000000005</v>
      </c>
      <c r="I28" s="30" t="s">
        <v>74</v>
      </c>
      <c r="J28" s="2">
        <v>1148</v>
      </c>
      <c r="K28" s="2">
        <v>1.7</v>
      </c>
      <c r="L28" s="2">
        <v>1.45</v>
      </c>
      <c r="M28" s="2">
        <f>K28-L28</f>
        <v>0.25</v>
      </c>
      <c r="N28" s="2">
        <f>M28*J28</f>
        <v>287</v>
      </c>
      <c r="O28" s="2">
        <f>J28/J30</f>
        <v>0.56000000000000005</v>
      </c>
    </row>
    <row r="29" spans="1:15">
      <c r="A29" s="30" t="s">
        <v>97</v>
      </c>
      <c r="B29" s="2">
        <v>902</v>
      </c>
      <c r="C29" s="2">
        <v>2.15</v>
      </c>
      <c r="D29" s="2">
        <v>1.85</v>
      </c>
      <c r="E29" s="2">
        <f>C29-D29</f>
        <v>0.29999999999999982</v>
      </c>
      <c r="F29" s="2">
        <f>E29*B29</f>
        <v>270.59999999999985</v>
      </c>
      <c r="G29" s="2">
        <f>B29/B30</f>
        <v>0.44</v>
      </c>
      <c r="I29" s="30" t="s">
        <v>97</v>
      </c>
      <c r="J29" s="2">
        <v>902</v>
      </c>
      <c r="K29" s="2">
        <v>2.15</v>
      </c>
      <c r="L29" s="2">
        <v>1.8</v>
      </c>
      <c r="M29" s="2">
        <f>K29-L29</f>
        <v>0.34999999999999987</v>
      </c>
      <c r="N29" s="2">
        <f>M29*J29</f>
        <v>315.69999999999987</v>
      </c>
      <c r="O29" s="2">
        <f>J29/J30</f>
        <v>0.44</v>
      </c>
    </row>
    <row r="30" spans="1:15">
      <c r="A30" s="2"/>
      <c r="B30" s="2">
        <f>SUM(B28:B29)</f>
        <v>2050</v>
      </c>
      <c r="C30" s="2"/>
      <c r="D30" s="2"/>
      <c r="E30" s="2"/>
      <c r="F30" s="2"/>
      <c r="G30" s="2"/>
      <c r="I30" s="2"/>
      <c r="J30" s="2">
        <f>SUM(J28:J29)</f>
        <v>2050</v>
      </c>
      <c r="K30" s="2"/>
      <c r="L30" s="2"/>
      <c r="M30" s="2"/>
      <c r="N30" s="2">
        <f>SUM(N28:N29)</f>
        <v>602.69999999999982</v>
      </c>
      <c r="O30" s="2"/>
    </row>
    <row r="33" spans="1:10">
      <c r="A33" s="2"/>
      <c r="B33" s="37" t="s">
        <v>99</v>
      </c>
      <c r="C33" s="38"/>
      <c r="D33" s="38"/>
      <c r="E33" s="38"/>
      <c r="F33" s="38"/>
      <c r="G33" s="39"/>
    </row>
    <row r="34" spans="1:10">
      <c r="A34" s="2"/>
      <c r="B34" s="2" t="s">
        <v>3</v>
      </c>
      <c r="C34" s="2" t="s">
        <v>69</v>
      </c>
      <c r="D34" s="2" t="s">
        <v>5</v>
      </c>
      <c r="E34" s="2" t="s">
        <v>90</v>
      </c>
      <c r="F34" s="2" t="s">
        <v>39</v>
      </c>
      <c r="G34" s="2" t="s">
        <v>7</v>
      </c>
      <c r="I34" s="2" t="s">
        <v>73</v>
      </c>
    </row>
    <row r="35" spans="1:10">
      <c r="A35" s="30" t="s">
        <v>74</v>
      </c>
      <c r="B35" s="2">
        <v>1200</v>
      </c>
      <c r="C35" s="2">
        <v>1.6</v>
      </c>
      <c r="D35" s="2">
        <v>1.45</v>
      </c>
      <c r="E35" s="2">
        <f>C35-D35</f>
        <v>0.15000000000000013</v>
      </c>
      <c r="F35" s="2">
        <f>E35*B35</f>
        <v>180.00000000000017</v>
      </c>
      <c r="G35" s="2">
        <f>B35/B37</f>
        <v>0.6</v>
      </c>
      <c r="I35" s="2">
        <f>N28-F35</f>
        <v>106.99999999999983</v>
      </c>
    </row>
    <row r="36" spans="1:10">
      <c r="A36" s="30" t="s">
        <v>97</v>
      </c>
      <c r="B36" s="2">
        <v>800</v>
      </c>
      <c r="C36" s="2">
        <v>2.1</v>
      </c>
      <c r="D36" s="2">
        <v>1.8</v>
      </c>
      <c r="E36" s="2">
        <f>C36-D36</f>
        <v>0.30000000000000004</v>
      </c>
      <c r="F36" s="2">
        <f>E36*B36</f>
        <v>240.00000000000003</v>
      </c>
      <c r="G36" s="2">
        <f>B36/B37</f>
        <v>0.4</v>
      </c>
      <c r="I36" s="2">
        <f>N29-F36</f>
        <v>75.699999999999847</v>
      </c>
    </row>
    <row r="37" spans="1:10">
      <c r="A37" s="2"/>
      <c r="B37" s="2">
        <f>SUM(B35:B36)</f>
        <v>2000</v>
      </c>
      <c r="C37" s="2"/>
      <c r="D37" s="2"/>
      <c r="E37" s="2"/>
      <c r="F37" s="2">
        <f>SUM(F35:F36)</f>
        <v>420.00000000000023</v>
      </c>
      <c r="G37" s="2"/>
      <c r="I37" s="3">
        <f>N30-F37</f>
        <v>182.69999999999959</v>
      </c>
    </row>
    <row r="39" spans="1:10" ht="17.25">
      <c r="A39" s="54" t="s">
        <v>171</v>
      </c>
      <c r="B39" s="54"/>
      <c r="C39" s="54"/>
      <c r="D39" s="54"/>
      <c r="I39" t="s">
        <v>165</v>
      </c>
      <c r="J39">
        <f>(E35*B35+E36*B36)/B37</f>
        <v>0.2100000000000001</v>
      </c>
    </row>
    <row r="41" spans="1:10">
      <c r="B41" s="4" t="s">
        <v>100</v>
      </c>
      <c r="D41">
        <f>C42+C43</f>
        <v>159.89999999999969</v>
      </c>
      <c r="F41" s="4" t="s">
        <v>10</v>
      </c>
      <c r="H41">
        <f>F42+F43</f>
        <v>12.300000000000002</v>
      </c>
      <c r="I41" s="4" t="s">
        <v>84</v>
      </c>
    </row>
    <row r="42" spans="1:10">
      <c r="C42">
        <f>(M28-E35)*J28</f>
        <v>114.79999999999984</v>
      </c>
      <c r="F42">
        <f>(G28-G35)*E35*B30</f>
        <v>-12.299999999999988</v>
      </c>
      <c r="I42">
        <f>(B30-B37)*J39</f>
        <v>10.500000000000005</v>
      </c>
    </row>
    <row r="43" spans="1:10">
      <c r="C43">
        <f>(M29-E36)*J29</f>
        <v>45.099999999999838</v>
      </c>
      <c r="F43">
        <f>(G29-G36)*E36*B30</f>
        <v>24.599999999999991</v>
      </c>
    </row>
    <row r="45" spans="1:10">
      <c r="B45" t="s">
        <v>71</v>
      </c>
      <c r="C45" s="1">
        <f>D41+H41+I42</f>
        <v>182.6999999999997</v>
      </c>
    </row>
    <row r="49" spans="1:15" ht="21">
      <c r="A49" s="5" t="s">
        <v>148</v>
      </c>
    </row>
    <row r="51" spans="1:15">
      <c r="A51" s="2"/>
      <c r="B51" s="51" t="s">
        <v>91</v>
      </c>
      <c r="C51" s="51"/>
      <c r="D51" s="51"/>
      <c r="E51" s="51"/>
      <c r="F51" s="51"/>
      <c r="G51" s="46"/>
      <c r="I51" s="2"/>
      <c r="J51" s="49" t="s">
        <v>99</v>
      </c>
      <c r="K51" s="49"/>
      <c r="L51" s="49"/>
      <c r="M51" s="49"/>
      <c r="N51" s="49"/>
      <c r="O51" s="49"/>
    </row>
    <row r="52" spans="1:15">
      <c r="A52" s="2"/>
      <c r="B52" s="2" t="s">
        <v>3</v>
      </c>
      <c r="C52" s="2" t="s">
        <v>69</v>
      </c>
      <c r="D52" s="2" t="s">
        <v>5</v>
      </c>
      <c r="E52" s="2" t="s">
        <v>90</v>
      </c>
      <c r="F52" s="2" t="s">
        <v>39</v>
      </c>
      <c r="G52" s="2" t="s">
        <v>7</v>
      </c>
      <c r="I52" s="2"/>
      <c r="J52" s="2" t="s">
        <v>3</v>
      </c>
      <c r="K52" s="2" t="s">
        <v>69</v>
      </c>
      <c r="L52" s="2" t="s">
        <v>5</v>
      </c>
      <c r="M52" s="2" t="s">
        <v>90</v>
      </c>
      <c r="N52" s="2" t="s">
        <v>39</v>
      </c>
      <c r="O52" s="50" t="s">
        <v>7</v>
      </c>
    </row>
    <row r="53" spans="1:15">
      <c r="A53" s="30" t="s">
        <v>149</v>
      </c>
      <c r="B53" s="2">
        <v>1000</v>
      </c>
      <c r="C53" s="2">
        <v>3</v>
      </c>
      <c r="D53" s="2">
        <v>1.5</v>
      </c>
      <c r="E53" s="2">
        <f>C53-D53</f>
        <v>1.5</v>
      </c>
      <c r="F53" s="2">
        <f>E53*B53</f>
        <v>1500</v>
      </c>
      <c r="G53" s="2">
        <f>B53/B55</f>
        <v>0.25</v>
      </c>
      <c r="I53" s="30" t="s">
        <v>149</v>
      </c>
      <c r="J53" s="2">
        <v>1500</v>
      </c>
      <c r="K53" s="2">
        <v>2.5</v>
      </c>
      <c r="L53" s="2">
        <v>1.25</v>
      </c>
      <c r="M53" s="2">
        <f>K53-L53</f>
        <v>1.25</v>
      </c>
      <c r="N53" s="2">
        <f>M53*J53</f>
        <v>1875</v>
      </c>
      <c r="O53" s="2">
        <f>J53/J55</f>
        <v>0.375</v>
      </c>
    </row>
    <row r="54" spans="1:15">
      <c r="A54" s="30" t="s">
        <v>150</v>
      </c>
      <c r="B54" s="2">
        <v>3000</v>
      </c>
      <c r="C54" s="2">
        <v>2</v>
      </c>
      <c r="D54" s="2">
        <v>1</v>
      </c>
      <c r="E54" s="2">
        <f>C54-D54</f>
        <v>1</v>
      </c>
      <c r="F54" s="2">
        <f>E54*B54</f>
        <v>3000</v>
      </c>
      <c r="G54" s="2">
        <f>B54/B55</f>
        <v>0.75</v>
      </c>
      <c r="I54" s="30" t="s">
        <v>150</v>
      </c>
      <c r="J54" s="2">
        <v>2500</v>
      </c>
      <c r="K54" s="2">
        <v>2.2999999999999998</v>
      </c>
      <c r="L54" s="2">
        <v>0.9</v>
      </c>
      <c r="M54" s="2">
        <f>K54-L54</f>
        <v>1.4</v>
      </c>
      <c r="N54" s="2">
        <f>M54*J54</f>
        <v>3500</v>
      </c>
      <c r="O54" s="2">
        <f>J54/J55</f>
        <v>0.625</v>
      </c>
    </row>
    <row r="55" spans="1:15">
      <c r="A55" s="2"/>
      <c r="B55" s="2">
        <f>SUM(B53:B54)</f>
        <v>4000</v>
      </c>
      <c r="C55" s="2"/>
      <c r="D55" s="2"/>
      <c r="E55" s="2"/>
      <c r="F55" s="2"/>
      <c r="G55" s="2"/>
      <c r="I55" s="2"/>
      <c r="J55" s="2">
        <f>SUM(J53:J54)</f>
        <v>4000</v>
      </c>
      <c r="K55" s="2"/>
      <c r="L55" s="2"/>
      <c r="M55" s="2"/>
      <c r="N55" s="2">
        <f>SUM(N53:N54)</f>
        <v>5375</v>
      </c>
      <c r="O55" s="2"/>
    </row>
    <row r="58" spans="1:15">
      <c r="A58" s="47"/>
      <c r="B58" s="37" t="s">
        <v>151</v>
      </c>
      <c r="C58" s="38"/>
      <c r="D58" s="38"/>
      <c r="E58" s="38"/>
      <c r="F58" s="38"/>
      <c r="G58" s="39"/>
    </row>
    <row r="59" spans="1:15">
      <c r="A59" s="47"/>
      <c r="B59" s="2" t="s">
        <v>3</v>
      </c>
      <c r="C59" s="2" t="s">
        <v>69</v>
      </c>
      <c r="D59" s="2" t="s">
        <v>5</v>
      </c>
      <c r="E59" s="2" t="s">
        <v>90</v>
      </c>
      <c r="F59" s="2" t="s">
        <v>39</v>
      </c>
      <c r="G59" s="2" t="s">
        <v>7</v>
      </c>
      <c r="H59" s="50" t="s">
        <v>73</v>
      </c>
    </row>
    <row r="60" spans="1:15">
      <c r="A60" s="48" t="s">
        <v>149</v>
      </c>
      <c r="B60" s="2">
        <v>1000</v>
      </c>
      <c r="C60" s="2">
        <v>3</v>
      </c>
      <c r="D60" s="2">
        <v>1.25</v>
      </c>
      <c r="E60" s="2">
        <f>C60-D60</f>
        <v>1.75</v>
      </c>
      <c r="F60" s="2">
        <f>E60*B60</f>
        <v>1750</v>
      </c>
      <c r="G60" s="2">
        <f>B60/B62</f>
        <v>0.25</v>
      </c>
      <c r="H60" s="2">
        <f>F60-N53</f>
        <v>-125</v>
      </c>
    </row>
    <row r="61" spans="1:15">
      <c r="A61" s="48" t="s">
        <v>150</v>
      </c>
      <c r="B61" s="2">
        <v>3000</v>
      </c>
      <c r="C61" s="2">
        <v>2</v>
      </c>
      <c r="D61" s="2">
        <v>0.9</v>
      </c>
      <c r="E61" s="2">
        <f>C61-D61</f>
        <v>1.1000000000000001</v>
      </c>
      <c r="F61" s="2">
        <f>E61*B61</f>
        <v>3300.0000000000005</v>
      </c>
      <c r="G61" s="2">
        <f>B61/B62</f>
        <v>0.75</v>
      </c>
      <c r="H61" s="2">
        <f>F61-N54</f>
        <v>-199.99999999999955</v>
      </c>
    </row>
    <row r="62" spans="1:15">
      <c r="B62" s="2">
        <f>SUM(B60:B61)</f>
        <v>4000</v>
      </c>
      <c r="C62" s="2"/>
      <c r="D62" s="2"/>
      <c r="E62" s="2"/>
      <c r="F62" s="2">
        <f>SUM(F60:F61)</f>
        <v>5050</v>
      </c>
      <c r="G62" s="2"/>
      <c r="H62" s="3">
        <f>F62-N55</f>
        <v>-325</v>
      </c>
    </row>
    <row r="63" spans="1:15">
      <c r="I63" t="s">
        <v>152</v>
      </c>
      <c r="J63">
        <f>((M53*J53)+(M54*J54))/J55</f>
        <v>1.34375</v>
      </c>
    </row>
    <row r="64" spans="1:15" ht="17.25">
      <c r="A64" s="54" t="s">
        <v>171</v>
      </c>
      <c r="B64" s="54"/>
      <c r="C64" s="54"/>
      <c r="D64" s="54"/>
    </row>
    <row r="65" spans="1:11" ht="17.25">
      <c r="A65" s="55"/>
      <c r="B65" s="55"/>
      <c r="C65" s="55"/>
      <c r="D65" s="55"/>
    </row>
    <row r="66" spans="1:11">
      <c r="A66" s="52" t="s">
        <v>10</v>
      </c>
      <c r="C66" s="4">
        <f>A67+A68</f>
        <v>75</v>
      </c>
      <c r="E66" s="52" t="s">
        <v>11</v>
      </c>
      <c r="G66" s="4">
        <f>E67+E68</f>
        <v>-399.99999999999943</v>
      </c>
      <c r="I66" s="52" t="s">
        <v>12</v>
      </c>
      <c r="K66" s="4">
        <v>0</v>
      </c>
    </row>
    <row r="67" spans="1:11">
      <c r="A67">
        <f>(G60-O53)*B62*M53</f>
        <v>-625</v>
      </c>
      <c r="E67">
        <f>(E60-M53)*B60</f>
        <v>500</v>
      </c>
      <c r="I67">
        <f>(B62-J55)*J63</f>
        <v>0</v>
      </c>
    </row>
    <row r="68" spans="1:11">
      <c r="A68">
        <f>(G61-O54)*B62*M54</f>
        <v>700</v>
      </c>
      <c r="E68" s="31">
        <f>(E61-M54)*B61</f>
        <v>-899.99999999999943</v>
      </c>
    </row>
    <row r="69" spans="1:11">
      <c r="A69" t="s">
        <v>71</v>
      </c>
      <c r="B69" s="1">
        <f>C66+G66+K66</f>
        <v>-324.99999999999943</v>
      </c>
      <c r="E69" s="31"/>
    </row>
  </sheetData>
  <mergeCells count="15">
    <mergeCell ref="B58:G58"/>
    <mergeCell ref="A17:D17"/>
    <mergeCell ref="A39:D39"/>
    <mergeCell ref="A64:D64"/>
    <mergeCell ref="B26:G26"/>
    <mergeCell ref="J26:O26"/>
    <mergeCell ref="B33:G33"/>
    <mergeCell ref="B51:G51"/>
    <mergeCell ref="J51:O51"/>
    <mergeCell ref="A1:E1"/>
    <mergeCell ref="D19:F19"/>
    <mergeCell ref="D20:F20"/>
    <mergeCell ref="B7:F7"/>
    <mergeCell ref="J7:M7"/>
    <mergeCell ref="B13:F1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0"/>
  <sheetViews>
    <sheetView topLeftCell="A6" workbookViewId="0">
      <selection activeCell="M4" sqref="M4:M9"/>
    </sheetView>
  </sheetViews>
  <sheetFormatPr baseColWidth="10" defaultRowHeight="15"/>
  <cols>
    <col min="1" max="1" width="23.140625" customWidth="1"/>
    <col min="5" max="5" width="15.85546875" customWidth="1"/>
  </cols>
  <sheetData>
    <row r="2" spans="1:13" ht="26.25">
      <c r="A2" s="22" t="s">
        <v>160</v>
      </c>
    </row>
    <row r="4" spans="1:13">
      <c r="A4" s="2"/>
      <c r="B4" s="34" t="s">
        <v>153</v>
      </c>
      <c r="C4" s="35"/>
      <c r="D4" s="35"/>
      <c r="E4" s="36"/>
      <c r="G4" s="40" t="s">
        <v>158</v>
      </c>
      <c r="H4" s="41"/>
      <c r="I4" s="41"/>
      <c r="J4" s="41"/>
      <c r="K4" s="42"/>
      <c r="M4" s="67" t="s">
        <v>9</v>
      </c>
    </row>
    <row r="5" spans="1:13">
      <c r="A5" s="2"/>
      <c r="B5" s="61" t="s">
        <v>3</v>
      </c>
      <c r="C5" s="61" t="s">
        <v>69</v>
      </c>
      <c r="D5" s="61" t="s">
        <v>157</v>
      </c>
      <c r="E5" s="61" t="s">
        <v>7</v>
      </c>
      <c r="G5" s="62"/>
      <c r="H5" s="62" t="s">
        <v>3</v>
      </c>
      <c r="I5" s="62" t="s">
        <v>69</v>
      </c>
      <c r="J5" s="62" t="s">
        <v>157</v>
      </c>
      <c r="K5" s="62" t="s">
        <v>7</v>
      </c>
      <c r="M5" s="67"/>
    </row>
    <row r="6" spans="1:13">
      <c r="A6" s="2" t="s">
        <v>154</v>
      </c>
      <c r="B6" s="2">
        <v>100</v>
      </c>
      <c r="C6" s="2">
        <v>4700</v>
      </c>
      <c r="D6" s="2">
        <f>B6*C6</f>
        <v>470000</v>
      </c>
      <c r="E6" s="2">
        <f>B6/B9</f>
        <v>0.18867924528301888</v>
      </c>
      <c r="G6" s="2" t="s">
        <v>154</v>
      </c>
      <c r="H6" s="2">
        <v>80</v>
      </c>
      <c r="I6" s="2">
        <v>4775</v>
      </c>
      <c r="J6" s="2">
        <f>H6*I6</f>
        <v>382000</v>
      </c>
      <c r="K6" s="2">
        <f>H6/H9</f>
        <v>0.14814814814814814</v>
      </c>
      <c r="M6" s="67">
        <f>D6-J6</f>
        <v>88000</v>
      </c>
    </row>
    <row r="7" spans="1:13">
      <c r="A7" s="2" t="s">
        <v>155</v>
      </c>
      <c r="B7" s="2">
        <v>150</v>
      </c>
      <c r="C7" s="2">
        <v>9050</v>
      </c>
      <c r="D7" s="2">
        <f t="shared" ref="D7:D10" si="0">B7*C7</f>
        <v>1357500</v>
      </c>
      <c r="E7" s="2">
        <f>B7/B9</f>
        <v>0.28301886792452829</v>
      </c>
      <c r="G7" s="2" t="s">
        <v>155</v>
      </c>
      <c r="H7" s="2">
        <v>160</v>
      </c>
      <c r="I7" s="2">
        <v>9000</v>
      </c>
      <c r="J7" s="2">
        <f t="shared" ref="J7:J8" si="1">H7*I7</f>
        <v>1440000</v>
      </c>
      <c r="K7" s="2">
        <f>H7/H9</f>
        <v>0.29629629629629628</v>
      </c>
      <c r="M7" s="67">
        <f t="shared" ref="M7:M9" si="2">D7-J7</f>
        <v>-82500</v>
      </c>
    </row>
    <row r="8" spans="1:13">
      <c r="A8" s="2" t="s">
        <v>156</v>
      </c>
      <c r="B8" s="2">
        <v>280</v>
      </c>
      <c r="C8" s="2">
        <v>9500</v>
      </c>
      <c r="D8" s="2">
        <f t="shared" si="0"/>
        <v>2660000</v>
      </c>
      <c r="E8" s="2">
        <f>B8/B9</f>
        <v>0.52830188679245282</v>
      </c>
      <c r="G8" s="2" t="s">
        <v>156</v>
      </c>
      <c r="H8" s="2">
        <v>300</v>
      </c>
      <c r="I8" s="2">
        <v>9660</v>
      </c>
      <c r="J8" s="2">
        <f t="shared" si="1"/>
        <v>2898000</v>
      </c>
      <c r="K8" s="2">
        <f>H8/H9</f>
        <v>0.55555555555555558</v>
      </c>
      <c r="M8" s="67">
        <f t="shared" si="2"/>
        <v>-238000</v>
      </c>
    </row>
    <row r="9" spans="1:13">
      <c r="A9" s="2"/>
      <c r="B9" s="2">
        <f>SUM(B6:B8)</f>
        <v>530</v>
      </c>
      <c r="C9" s="2"/>
      <c r="D9" s="2">
        <f>SUM(D6:D8)</f>
        <v>4487500</v>
      </c>
      <c r="E9" s="2"/>
      <c r="G9" s="2"/>
      <c r="H9" s="2">
        <f>SUM(H6:H8)</f>
        <v>540</v>
      </c>
      <c r="I9" s="2"/>
      <c r="J9" s="2">
        <f>SUM(J6:J8)</f>
        <v>4720000</v>
      </c>
      <c r="K9" s="2"/>
      <c r="M9" s="67">
        <f t="shared" si="2"/>
        <v>-232500</v>
      </c>
    </row>
    <row r="12" spans="1:13">
      <c r="A12" s="4" t="s">
        <v>66</v>
      </c>
      <c r="B12" s="4">
        <f>SUM(B13:B15)</f>
        <v>-44800</v>
      </c>
      <c r="D12" s="4" t="s">
        <v>67</v>
      </c>
      <c r="F12" s="4">
        <f>SUM(D13:D15)</f>
        <v>-187700</v>
      </c>
    </row>
    <row r="13" spans="1:13">
      <c r="A13" t="s">
        <v>154</v>
      </c>
      <c r="B13">
        <f>(C6-I6)*B6</f>
        <v>-7500</v>
      </c>
      <c r="D13">
        <f>(B6-H6)*I6</f>
        <v>95500</v>
      </c>
    </row>
    <row r="14" spans="1:13">
      <c r="A14" t="s">
        <v>155</v>
      </c>
      <c r="B14">
        <f>(C7-I7)*B7</f>
        <v>7500</v>
      </c>
      <c r="D14">
        <f>(B7-H7)*I7</f>
        <v>-90000</v>
      </c>
    </row>
    <row r="15" spans="1:13">
      <c r="A15" t="s">
        <v>156</v>
      </c>
      <c r="B15">
        <f>(C8-I8)*B8</f>
        <v>-44800</v>
      </c>
      <c r="D15">
        <f>(B8-H8)*I8</f>
        <v>-193200</v>
      </c>
    </row>
    <row r="18" spans="4:12">
      <c r="D18" s="4" t="s">
        <v>84</v>
      </c>
      <c r="F18" t="s">
        <v>159</v>
      </c>
      <c r="G18">
        <f>(I6*H6+I7*H7+I8*H8)/H9</f>
        <v>8740.7407407407409</v>
      </c>
      <c r="I18" s="4" t="s">
        <v>10</v>
      </c>
      <c r="K18" s="4">
        <f>I19+I20+I21</f>
        <v>-100292.59259259267</v>
      </c>
    </row>
    <row r="19" spans="4:12">
      <c r="I19">
        <f>(E6-K6)*B9*I6</f>
        <v>102574.07407407412</v>
      </c>
    </row>
    <row r="20" spans="4:12">
      <c r="D20">
        <f>(B9-H9)*G18</f>
        <v>-87407.407407407416</v>
      </c>
      <c r="I20">
        <f>(E7-K7)*I7*B9</f>
        <v>-63333.333333333292</v>
      </c>
    </row>
    <row r="21" spans="4:12">
      <c r="I21">
        <f>(E8-K8)*I8*B9</f>
        <v>-139533.33333333349</v>
      </c>
    </row>
    <row r="23" spans="4:12">
      <c r="D23" s="32" t="s">
        <v>162</v>
      </c>
      <c r="E23" s="32"/>
      <c r="F23" s="32"/>
      <c r="I23" s="32" t="s">
        <v>161</v>
      </c>
      <c r="J23" s="32"/>
      <c r="K23" s="32"/>
      <c r="L23" s="32"/>
    </row>
    <row r="24" spans="4:12">
      <c r="D24" s="6"/>
      <c r="E24" s="6"/>
      <c r="I24" s="6" t="s">
        <v>168</v>
      </c>
      <c r="J24" s="6"/>
      <c r="K24" s="6"/>
      <c r="L24" s="6"/>
    </row>
    <row r="26" spans="4:12">
      <c r="D26" s="4" t="s">
        <v>167</v>
      </c>
      <c r="F26">
        <f>F27+F28+F29</f>
        <v>-87407.407407407401</v>
      </c>
    </row>
    <row r="27" spans="4:12">
      <c r="D27" s="33" t="s">
        <v>166</v>
      </c>
      <c r="F27">
        <f>(B9-H9)*K6*I6</f>
        <v>-7074.0740740740739</v>
      </c>
    </row>
    <row r="28" spans="4:12">
      <c r="F28">
        <f>(B9-H9)*K7*I7</f>
        <v>-26666.666666666664</v>
      </c>
    </row>
    <row r="29" spans="4:12">
      <c r="F29">
        <f>(B9-H9)*K8*I8</f>
        <v>-53666.666666666664</v>
      </c>
    </row>
    <row r="30" spans="4:12">
      <c r="D30" s="6" t="s">
        <v>169</v>
      </c>
      <c r="E30" s="6"/>
      <c r="F30" s="6"/>
      <c r="G30" s="6"/>
    </row>
  </sheetData>
  <mergeCells count="7">
    <mergeCell ref="B4:E4"/>
    <mergeCell ref="G4:K4"/>
    <mergeCell ref="I23:L23"/>
    <mergeCell ref="D23:F23"/>
    <mergeCell ref="D24:E24"/>
    <mergeCell ref="I24:L24"/>
    <mergeCell ref="D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TD2 Marge vente flash</vt:lpstr>
      <vt:lpstr>TD1 Marge vente 2</vt:lpstr>
      <vt:lpstr>TD2 CD production</vt:lpstr>
      <vt:lpstr>TD2 CI production</vt:lpstr>
      <vt:lpstr>TD1 CA vente</vt:lpstr>
      <vt:lpstr>TD1 Marge vente</vt:lpstr>
      <vt:lpstr>TD1 marge situation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gardes</dc:creator>
  <cp:lastModifiedBy>gardes</cp:lastModifiedBy>
  <dcterms:created xsi:type="dcterms:W3CDTF">2013-03-19T13:43:58Z</dcterms:created>
  <dcterms:modified xsi:type="dcterms:W3CDTF">2013-03-27T08:34:57Z</dcterms:modified>
</cp:coreProperties>
</file>